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970" windowHeight="6930" tabRatio="478" activeTab="0"/>
  </bookViews>
  <sheets>
    <sheet name="重量計算全部 (2)" sheetId="1" r:id="rId1"/>
    <sheet name="重量計算全部" sheetId="2" r:id="rId2"/>
    <sheet name="重量計算" sheetId="3" r:id="rId3"/>
  </sheets>
  <definedNames/>
  <calcPr fullCalcOnLoad="1"/>
</workbook>
</file>

<file path=xl/sharedStrings.xml><?xml version="1.0" encoding="utf-8"?>
<sst xmlns="http://schemas.openxmlformats.org/spreadsheetml/2006/main" count="765" uniqueCount="481">
  <si>
    <t>重量</t>
  </si>
  <si>
    <t>計算</t>
  </si>
  <si>
    <t>総重量/kg</t>
  </si>
  <si>
    <t>商品名・規格</t>
  </si>
  <si>
    <t>数量</t>
  </si>
  <si>
    <t>重量／kg</t>
  </si>
  <si>
    <t>鳥居型建枠1200巾　ｱｰﾑﾚｽ</t>
  </si>
  <si>
    <t>スチール足場板　４Ｍ</t>
  </si>
  <si>
    <t>鳥居型建枠900巾　ｱｰﾑﾚｽ</t>
  </si>
  <si>
    <t>スチール足場板　３Ｍ</t>
  </si>
  <si>
    <t>鳥居型建枠600巾　ｱｰﾑﾚｽ</t>
  </si>
  <si>
    <t>スチール足場板　２Ｍ</t>
  </si>
  <si>
    <t>ﾛｰﾘﾝｸﾞﾀﾜｰ用建枠　ｱｰﾑﾚｽ</t>
  </si>
  <si>
    <t>合板足場板　４Ｍ</t>
  </si>
  <si>
    <t>ﾛｰﾘﾝﾀﾜｰ用建枠半枠　ｱｰﾑﾚｽ</t>
  </si>
  <si>
    <t>合板足場板　３Ｍ</t>
  </si>
  <si>
    <t>ブレース</t>
  </si>
  <si>
    <t>合板足場板　２Ｍ</t>
  </si>
  <si>
    <t>ブレース　半枠</t>
  </si>
  <si>
    <t>合板敷板　４Ｍ</t>
  </si>
  <si>
    <t>建枠ベース</t>
  </si>
  <si>
    <t>合板敷板　３Ｍ</t>
  </si>
  <si>
    <t>ジャッキベース</t>
  </si>
  <si>
    <t>合板敷板　２Ｍ</t>
  </si>
  <si>
    <t>ロングジャッキベース</t>
  </si>
  <si>
    <t>兼用直交クランプ</t>
  </si>
  <si>
    <t>自在ジャッキベース</t>
  </si>
  <si>
    <t>兼用自在クランプ</t>
  </si>
  <si>
    <t>ローリングキャスター　大</t>
  </si>
  <si>
    <t>ｷｬｯﾁｬｰｸﾗﾝﾌﾟ　兼用直交</t>
  </si>
  <si>
    <t>ローリングキャスター　小</t>
  </si>
  <si>
    <t>ｷｬｯﾁｬｰｸﾗﾝﾌﾟ　兼用自在</t>
  </si>
  <si>
    <t>アームロック　大</t>
  </si>
  <si>
    <t>ﾛﾝｸﾞｷｬｯﾁｬｰ　兼用自在</t>
  </si>
  <si>
    <t>アームロック　中</t>
  </si>
  <si>
    <t>丸パイプ　６．０Ｍ</t>
  </si>
  <si>
    <t>アームロック　小</t>
  </si>
  <si>
    <t>丸パイプ　５．５Ｍ</t>
  </si>
  <si>
    <t>ビデー用手摺柱　ｱｰﾑﾚｽ用</t>
  </si>
  <si>
    <t>丸パイプ　５．０Ｍ</t>
  </si>
  <si>
    <t>手摺枠</t>
  </si>
  <si>
    <t>丸パイプ　４．５Ｍ</t>
  </si>
  <si>
    <t>布枠</t>
  </si>
  <si>
    <t>丸パイプ　４．０Ｍ</t>
  </si>
  <si>
    <t>巾木</t>
  </si>
  <si>
    <t>丸パイプ　３．５Ｍ</t>
  </si>
  <si>
    <t>ビデー用手摺　１８００</t>
  </si>
  <si>
    <t>丸パイプ　３．０Ｍ</t>
  </si>
  <si>
    <t>ビデー用手摺　１２００</t>
  </si>
  <si>
    <t>丸パイプ　２．５Ｍ</t>
  </si>
  <si>
    <t>ビデー用手摺　９００</t>
  </si>
  <si>
    <t>丸パイプ　２．０Ｍ</t>
  </si>
  <si>
    <t>アウトリガー</t>
  </si>
  <si>
    <t>丸パイプ　１．５Ｍ</t>
  </si>
  <si>
    <t>ビデー用階段</t>
  </si>
  <si>
    <t>丸パイプ　１．２Ｍ</t>
  </si>
  <si>
    <t>ローリング用階段</t>
  </si>
  <si>
    <t>丸パイプ　１．０Ｍ</t>
  </si>
  <si>
    <t>鋼製足場板Ｒ用　５００巾</t>
  </si>
  <si>
    <t>単管ジョイント</t>
  </si>
  <si>
    <t>鋼製足場板　５００巾</t>
  </si>
  <si>
    <t>Ｃ型ジョイント</t>
  </si>
  <si>
    <t>鋼製足場板　２４０巾</t>
  </si>
  <si>
    <t>パイプ用ベース</t>
  </si>
  <si>
    <t>回転式足場板</t>
  </si>
  <si>
    <t>足場チェーン　４Ｍ</t>
  </si>
  <si>
    <t>階段受</t>
  </si>
  <si>
    <t>足場チェーン　３Ｍ</t>
  </si>
  <si>
    <t>セーフティガード</t>
  </si>
  <si>
    <t>足場チェーン　２Ｍ</t>
  </si>
  <si>
    <t>階段用手摺</t>
  </si>
  <si>
    <t>チェーンクランプ</t>
  </si>
  <si>
    <t>エンドストッパー</t>
  </si>
  <si>
    <t>パレテーナ　Ｗ－２</t>
  </si>
  <si>
    <t>スタンション　Ｓ－１型</t>
  </si>
  <si>
    <t>パレテーナ　　Ｗ－１</t>
  </si>
  <si>
    <t>スタンション　Ｈ－２型</t>
  </si>
  <si>
    <t>コンビステップ</t>
  </si>
  <si>
    <t>スタンション　ＮＲＥ型</t>
  </si>
  <si>
    <t>二連ハシゴ　１０Ｍ</t>
  </si>
  <si>
    <t>壁つなぎ　Ｈ－４００</t>
  </si>
  <si>
    <t>二連ハシゴ　８Ｍ</t>
  </si>
  <si>
    <t>壁つなぎ　Ｈ－９００</t>
  </si>
  <si>
    <t>二連ハシゴ　５Ｍ</t>
  </si>
  <si>
    <t>ブラケット　９００</t>
  </si>
  <si>
    <t>二連ハシゴ　４Ｍ</t>
  </si>
  <si>
    <t>ブラケット　６００</t>
  </si>
  <si>
    <t>一連ハシゴ　４Ｍ</t>
  </si>
  <si>
    <t>ブラケット　３００</t>
  </si>
  <si>
    <t>バリスター</t>
  </si>
  <si>
    <t>ｽﾃｯﾌﾟ付脚立　９尺</t>
  </si>
  <si>
    <t>ガードフェンス1800X1800</t>
  </si>
  <si>
    <t>ｽﾃｯﾌﾟ付脚立　７尺</t>
  </si>
  <si>
    <t>三段フェンス</t>
  </si>
  <si>
    <t>ｽﾃｯﾌﾟ付脚立　６尺</t>
  </si>
  <si>
    <t>ｶﾞｰﾄﾞﾌｪﾝｽ用ブロック石</t>
  </si>
  <si>
    <t>ｽﾃｯﾌﾟ付脚立　４尺</t>
  </si>
  <si>
    <t>パイプサポート　９尺</t>
  </si>
  <si>
    <t>ｽﾃｯﾌﾟ付脚立　３尺</t>
  </si>
  <si>
    <t>パイプサポート　６尺</t>
  </si>
  <si>
    <t>敷鉄板　２２Ｘ５Ｘ１０</t>
  </si>
  <si>
    <t>パイプサポート　４尺</t>
  </si>
  <si>
    <t>パイプサポート　３尺</t>
  </si>
  <si>
    <t xml:space="preserve">小       計   </t>
  </si>
  <si>
    <t>梯子型建枠914x914 A-303L</t>
  </si>
  <si>
    <t>交叉筋違  1829X610 A-08</t>
  </si>
  <si>
    <t>親綱支柱</t>
  </si>
  <si>
    <t>ブレース1219x1524</t>
  </si>
  <si>
    <t>ブレース1219x1219</t>
  </si>
  <si>
    <t>ブレース914x1524</t>
  </si>
  <si>
    <t>ブレース914x1829</t>
  </si>
  <si>
    <t>鋼製布板500x1219</t>
  </si>
  <si>
    <t>鋼製布板500x1524</t>
  </si>
  <si>
    <t>鋼製布板240x1524</t>
  </si>
  <si>
    <t>養生メッシュシート1.83x5.1</t>
  </si>
  <si>
    <t>ラッセルネット0.5ｘ6</t>
  </si>
  <si>
    <t>敷鉄板　22×4×８</t>
  </si>
  <si>
    <t>アルミ足場板　４Ｍ</t>
  </si>
  <si>
    <t>スチール足場板　１Ｍ</t>
  </si>
  <si>
    <t>アルミ足場板　３Ｍ</t>
  </si>
  <si>
    <t>アルミ足場板　２Ｍ</t>
  </si>
  <si>
    <t>杉板　４Ｍ</t>
  </si>
  <si>
    <t>杉板　３Ｍ</t>
  </si>
  <si>
    <t>杉板　２Ｍ</t>
  </si>
  <si>
    <t>壁つなぎ　Ｈ－３００</t>
  </si>
  <si>
    <t>壁つなぎ　Ｈ－２００</t>
  </si>
  <si>
    <t>壁つなぎ　Ｈ－６００</t>
  </si>
  <si>
    <t>壁つなぎ　Ｈ－８００</t>
  </si>
  <si>
    <t>アルミハッチ式布板500×1800</t>
  </si>
  <si>
    <t>アルミハッチ式布板500×1500</t>
  </si>
  <si>
    <t>アルミハッチ式布板500×1200</t>
  </si>
  <si>
    <t>3連直交ｸﾗﾝﾌﾟ</t>
  </si>
  <si>
    <t>3連自在ｸﾗﾝﾌﾟ</t>
  </si>
  <si>
    <t>ｷｬｯﾁ（65）ﾛﾝｸﾞ直交</t>
  </si>
  <si>
    <t>ｷｬｯﾁ（65）ﾛﾝｸﾞ自在</t>
  </si>
  <si>
    <t>ﾛﾝｸﾞｷｬｯﾁｬｰ　兼用直交</t>
  </si>
  <si>
    <t>方丈</t>
  </si>
  <si>
    <t>梁枠受金具</t>
  </si>
  <si>
    <t>梁枠2スパン</t>
  </si>
  <si>
    <t>梁枠3スパン</t>
  </si>
  <si>
    <t>梁枠4スパン</t>
  </si>
  <si>
    <t>梁枠ベース610</t>
  </si>
  <si>
    <t>梁枠ベース914</t>
  </si>
  <si>
    <t>梁枠ベース1219</t>
  </si>
  <si>
    <t>パレテーナ　（小）</t>
  </si>
  <si>
    <t>パレテーナ　（大）</t>
  </si>
  <si>
    <t>バン木　（大）</t>
  </si>
  <si>
    <t>バン木　（小）</t>
  </si>
  <si>
    <t>敷板　30×30</t>
  </si>
  <si>
    <t>ｱﾙﾐ脚立　3尺</t>
  </si>
  <si>
    <t>ｱﾙﾐ脚立　4尺</t>
  </si>
  <si>
    <t>ｱﾙﾐ脚立　6尺</t>
  </si>
  <si>
    <t>ｱﾙﾐ脚立　7尺</t>
  </si>
  <si>
    <t>ｱﾙﾐ脚立　9尺</t>
  </si>
  <si>
    <t>鳥居型建枠　600×1500</t>
  </si>
  <si>
    <t>鳥居型建枠　600×1200</t>
  </si>
  <si>
    <t>鳥居型建枠　600×900</t>
  </si>
  <si>
    <t>鳥居型建枠　600×490</t>
  </si>
  <si>
    <t>鳥居型建枠　1200×1500</t>
  </si>
  <si>
    <t>鳥居型建枠　1200×1200</t>
  </si>
  <si>
    <t>ブラケット枠　600～900巾</t>
  </si>
  <si>
    <t>ブラケット枠　900～1200巾</t>
  </si>
  <si>
    <t>折りたたみ2段手摺　1800</t>
  </si>
  <si>
    <t>折りたたみ2段手摺　1500</t>
  </si>
  <si>
    <t>折りたたみ2段手摺　1200</t>
  </si>
  <si>
    <t>折りたたみ2段手摺　900</t>
  </si>
  <si>
    <t>先行手摺　1800</t>
  </si>
  <si>
    <t>先行手摺　1200</t>
  </si>
  <si>
    <t>先行手摺　1500</t>
  </si>
  <si>
    <t>先行手摺　900</t>
  </si>
  <si>
    <t>先行手摺金具類</t>
  </si>
  <si>
    <t>棒ジャッキ</t>
  </si>
  <si>
    <t>U字ベース</t>
  </si>
  <si>
    <t>自在パイプベース</t>
  </si>
  <si>
    <t>大引き受けジャッキ</t>
  </si>
  <si>
    <t>ロング大引き受けジャッキ</t>
  </si>
  <si>
    <t>大引受金具</t>
  </si>
  <si>
    <t>先端クランプ</t>
  </si>
  <si>
    <t>巾木　1800</t>
  </si>
  <si>
    <t>巾木　1500</t>
  </si>
  <si>
    <t>巾木　1200</t>
  </si>
  <si>
    <t>巾木　900</t>
  </si>
  <si>
    <t>アルミ軽量つま先板　1800</t>
  </si>
  <si>
    <t>アルミ軽量つま先板　1500</t>
  </si>
  <si>
    <t>アルミ軽量つま先板　1200</t>
  </si>
  <si>
    <t>アルミ軽量つま先板　900</t>
  </si>
  <si>
    <t>アルミ軽量つま先板　1200Ｌ</t>
  </si>
  <si>
    <t>アルミ軽量つま先板　900Ｌ</t>
  </si>
  <si>
    <t>つま先板固定金具</t>
  </si>
  <si>
    <t>100角ジョイント</t>
  </si>
  <si>
    <t>60角ジョイント</t>
  </si>
  <si>
    <t>角パイプ　1Ｍ</t>
  </si>
  <si>
    <t>角パイプ　2Ｍ</t>
  </si>
  <si>
    <t>角パイプ　3Ｍ</t>
  </si>
  <si>
    <t>角パイプ　4Ｍ</t>
  </si>
  <si>
    <t>三段フェンスくぐり戸付き</t>
  </si>
  <si>
    <t>Ａ型バリケード</t>
  </si>
  <si>
    <t>Ｈ鋼スタンド</t>
  </si>
  <si>
    <t>フェンス止め金具</t>
  </si>
  <si>
    <t>フェンスサポート　1200用</t>
  </si>
  <si>
    <t>フェンスサポート　1800用</t>
  </si>
  <si>
    <t>フェンスサポート　伸縮用1.5～1.8</t>
  </si>
  <si>
    <t>カラーコーン用ウェイト</t>
  </si>
  <si>
    <t>パイプサポート　2尺</t>
  </si>
  <si>
    <t>パイプサポート　3尺</t>
  </si>
  <si>
    <t>パイプサポート　4尺</t>
  </si>
  <si>
    <t>パイプサポート　6尺</t>
  </si>
  <si>
    <t>パイプサポート　9尺</t>
  </si>
  <si>
    <t>補助サポート</t>
  </si>
  <si>
    <t>親綱エレクション</t>
  </si>
  <si>
    <t>親綱エレクション　平行型</t>
  </si>
  <si>
    <t>親綱緊張器</t>
  </si>
  <si>
    <t>親綱　10Ｍ</t>
  </si>
  <si>
    <t>親綱　15Ｍ</t>
  </si>
  <si>
    <t>親綱　20Ｍ</t>
  </si>
  <si>
    <t>親綱　30Ｍ</t>
  </si>
  <si>
    <t>ラッセルネット　0.5×6</t>
  </si>
  <si>
    <t>ラッセルネット　1×6</t>
  </si>
  <si>
    <t>亀甲ネット　1×12</t>
  </si>
  <si>
    <t>亀甲ネット　4×6</t>
  </si>
  <si>
    <t>亀甲ネット　6×6</t>
  </si>
  <si>
    <t>亀甲ネット　4×12</t>
  </si>
  <si>
    <t>亀甲ネット　6×12</t>
  </si>
  <si>
    <t>亀甲ネット　1×10</t>
  </si>
  <si>
    <t>亀甲ネット　7×7</t>
  </si>
  <si>
    <t>亀甲ネット　7×10</t>
  </si>
  <si>
    <t>亀甲ネット　7×14</t>
  </si>
  <si>
    <t>親綱　8Ｍ</t>
  </si>
  <si>
    <t>親綱　25Ｍ</t>
  </si>
  <si>
    <t>安全ブロック　12Ｍ</t>
  </si>
  <si>
    <t>安全ブロック　20Ｍ</t>
  </si>
  <si>
    <t>養生シート</t>
  </si>
  <si>
    <t>防音シート（グレー）</t>
  </si>
  <si>
    <t>防音シート（グリーン）</t>
  </si>
  <si>
    <t>親綱支柱</t>
  </si>
  <si>
    <t>鉄骨階段手摺　2034</t>
  </si>
  <si>
    <t>鉄骨階段手摺　1219</t>
  </si>
  <si>
    <t>鉄骨階段手摺　1118</t>
  </si>
  <si>
    <t>鉄骨階段手摺　0812</t>
  </si>
  <si>
    <t>鉄骨階段手摺　0005</t>
  </si>
  <si>
    <t>安全柵</t>
  </si>
  <si>
    <t>4tﾕﾆｯｸ</t>
  </si>
  <si>
    <t>車</t>
  </si>
  <si>
    <t>8tﾕﾆｯｸ</t>
  </si>
  <si>
    <t>10ｔﾕﾆｯｸ車</t>
  </si>
  <si>
    <t>4tﾕﾆｯｸ</t>
  </si>
  <si>
    <t>8tﾕﾆｯｸ</t>
  </si>
  <si>
    <t>鳥居型建枠　1200　ｱｰﾑﾚｽ　Ａ</t>
  </si>
  <si>
    <t>ラッセルネット　0.5×6</t>
  </si>
  <si>
    <t>鳥居型建枠　1200　ｱｰﾑﾚｽ　Ｂ</t>
  </si>
  <si>
    <t>ラッセルネット　1×6</t>
  </si>
  <si>
    <t>鳥居型建枠　1200×1500</t>
  </si>
  <si>
    <t>ラッセルネット　2×6</t>
  </si>
  <si>
    <t>鳥居型建枠　1200×1200</t>
  </si>
  <si>
    <t>ラッセルネット　3×6</t>
  </si>
  <si>
    <t>鳥居型建枠　1200×900</t>
  </si>
  <si>
    <t>ラッセルネット　4×7</t>
  </si>
  <si>
    <t>鳥居型建枠　1200×490</t>
  </si>
  <si>
    <t>ラッセルネット　5×5</t>
  </si>
  <si>
    <t>鳥居型建枠　900　ｱｰﾑﾚｽ</t>
  </si>
  <si>
    <t>ラッセルネット　6×6</t>
  </si>
  <si>
    <t>鳥居型建枠　900×1500</t>
  </si>
  <si>
    <t>ラッセルネット　7×7</t>
  </si>
  <si>
    <t>鳥居型建枠　900×1200</t>
  </si>
  <si>
    <t>ラッセルネット　8×8</t>
  </si>
  <si>
    <t>鳥居型建枠　900×900</t>
  </si>
  <si>
    <t>ラッセルネット　5×10</t>
  </si>
  <si>
    <t>鳥居型建枠　900×490</t>
  </si>
  <si>
    <t>鳥居型建枠　600　ｱｰﾑﾚｽ</t>
  </si>
  <si>
    <t>ジョイントピン</t>
  </si>
  <si>
    <t>ブレース　1709</t>
  </si>
  <si>
    <t>ブレース　1712</t>
  </si>
  <si>
    <t>ブレース　1715</t>
  </si>
  <si>
    <t>ブレース　1718</t>
  </si>
  <si>
    <t>ブレース　1206</t>
  </si>
  <si>
    <t>ﾛﾝｸﾞｷｬｯﾁｬｰ　兼用自在</t>
  </si>
  <si>
    <t>ブレース　1209</t>
  </si>
  <si>
    <t>ｼｰﾄｸﾗﾝﾌﾟ</t>
  </si>
  <si>
    <t>ブレース　1212</t>
  </si>
  <si>
    <t>ﾈｯﾄｸﾗﾝﾌﾟ</t>
  </si>
  <si>
    <t>ブレース　1215</t>
  </si>
  <si>
    <t>ガードメッシュシート　1.8×5.1</t>
  </si>
  <si>
    <t>ブレース　1218</t>
  </si>
  <si>
    <t>ガードメッシュシート　1.5×1.2</t>
  </si>
  <si>
    <t>ブレース　9006</t>
  </si>
  <si>
    <t>ガードメッシュシート　1.2×5.1</t>
  </si>
  <si>
    <t>ブレース　9009</t>
  </si>
  <si>
    <t>ガードメッシュシート　0.9×5.1</t>
  </si>
  <si>
    <t>ブレース　9012</t>
  </si>
  <si>
    <t>ガードメッシュシート　0.6×5.1</t>
  </si>
  <si>
    <t>ブレース　9015</t>
  </si>
  <si>
    <t>ブレース　9018</t>
  </si>
  <si>
    <t>ブレース　4906</t>
  </si>
  <si>
    <t>ブレース　4909</t>
  </si>
  <si>
    <t>ＧＣハリップ</t>
  </si>
  <si>
    <t>ブレース　4912</t>
  </si>
  <si>
    <t>ロープクリップ</t>
  </si>
  <si>
    <t>ブレース　4915</t>
  </si>
  <si>
    <t>シートクランプ</t>
  </si>
  <si>
    <t>ブレース　4918</t>
  </si>
  <si>
    <t>シングルネット　1×6</t>
  </si>
  <si>
    <t>シングルネット　2×6</t>
  </si>
  <si>
    <t>シングルネット　3×6</t>
  </si>
  <si>
    <t>シングルネット　5×5</t>
  </si>
  <si>
    <t>シングルネット　6×6</t>
  </si>
  <si>
    <t>シングルネット　8×8</t>
  </si>
  <si>
    <t>シングルネット　5×10</t>
  </si>
  <si>
    <t>ＳＴＢネットブラケット</t>
  </si>
  <si>
    <t>ビデー用手摺　１５００</t>
  </si>
  <si>
    <t>ビデー用手摺　９００</t>
  </si>
  <si>
    <t>ビデー用手摺　６１０</t>
  </si>
  <si>
    <t>チェーンクランプ　80</t>
  </si>
  <si>
    <t>チェーンクランプ　100</t>
  </si>
  <si>
    <t>アイアンマン　ＡＣ-50</t>
  </si>
  <si>
    <t>ブルマン　Ｃ-90</t>
  </si>
  <si>
    <t>ブルマン　Ｃ-130</t>
  </si>
  <si>
    <t>アウトリガー</t>
  </si>
  <si>
    <t>コンビステップ　500</t>
  </si>
  <si>
    <t>コンビステップ　600</t>
  </si>
  <si>
    <t>コンビステップ　900</t>
  </si>
  <si>
    <t>コーナーステップ　500</t>
  </si>
  <si>
    <t>コーナーステップ　240</t>
  </si>
  <si>
    <t>鋼製足場板　５００×１５００</t>
  </si>
  <si>
    <t>二連ハシゴ　6Ｍ</t>
  </si>
  <si>
    <t>鋼製足場板　５００×１２００</t>
  </si>
  <si>
    <t>鋼製足場板　５００×９００</t>
  </si>
  <si>
    <t>二連ハシゴ　10Ｍ</t>
  </si>
  <si>
    <t>鋼製足場板　５００×６１０</t>
  </si>
  <si>
    <t>一連ハシゴ　2Ｍ</t>
  </si>
  <si>
    <t>一連ハシゴ　3Ｍ</t>
  </si>
  <si>
    <t>鋼製足場板　２４０×１５００</t>
  </si>
  <si>
    <t>一連ハシゴ　4Ｍ</t>
  </si>
  <si>
    <t>鋼製足場板　２４０×１２００</t>
  </si>
  <si>
    <t>一連ハシゴ　5Ｍ</t>
  </si>
  <si>
    <t>鋼製足場板　２４０×９００</t>
  </si>
  <si>
    <t>鋼製足場板　２４０×６１０</t>
  </si>
  <si>
    <t>ステップバー</t>
  </si>
  <si>
    <t>モンキータラップ</t>
  </si>
  <si>
    <t>バリスター</t>
  </si>
  <si>
    <t>ダブルエンドストッパー</t>
  </si>
  <si>
    <t>ブラケット　300</t>
  </si>
  <si>
    <t>クイックブラケット　500</t>
  </si>
  <si>
    <t>カラーコーン</t>
  </si>
  <si>
    <t>コーンバー</t>
  </si>
  <si>
    <t>スタンション　Ｓ-1</t>
  </si>
  <si>
    <t>スタンション　Ｓ-2</t>
  </si>
  <si>
    <t>スタンション　ＮＲＥ</t>
  </si>
  <si>
    <t>セーフティーブロック　10Ｍ</t>
  </si>
  <si>
    <t>敷鉄板　２２Ｘ３×６</t>
  </si>
  <si>
    <t>セーフティーブロック　15Ｍ</t>
  </si>
  <si>
    <t>セーフティーブロック　20Ｍ</t>
  </si>
  <si>
    <t>ゴムマット1×2</t>
  </si>
  <si>
    <t>アルミ階段枠</t>
  </si>
  <si>
    <t>鳥居型建枠　1200　ｱｰﾑﾚｽ　Ａ</t>
  </si>
  <si>
    <t>鳥居型建枠　1200　ｱｰﾑﾚｽ　Ｂ</t>
  </si>
  <si>
    <t>ラッセルネット　2×6</t>
  </si>
  <si>
    <t>ラッセルネット　3×6</t>
  </si>
  <si>
    <t>鳥居型建枠　1200×900</t>
  </si>
  <si>
    <t>ラッセルネット　4×7</t>
  </si>
  <si>
    <t>鳥居型建枠　1200×490</t>
  </si>
  <si>
    <t>ラッセルネット　5×5</t>
  </si>
  <si>
    <t>鳥居型建枠　900　ｱｰﾑﾚｽ</t>
  </si>
  <si>
    <t>ラッセルネット　6×6</t>
  </si>
  <si>
    <t>鳥居型建枠　900×1500</t>
  </si>
  <si>
    <t>ラッセルネット　7×7</t>
  </si>
  <si>
    <t>鳥居型建枠　900×1200</t>
  </si>
  <si>
    <t>ラッセルネット　8×8</t>
  </si>
  <si>
    <t>鳥居型建枠　900×900</t>
  </si>
  <si>
    <t>ラッセルネット　5×10</t>
  </si>
  <si>
    <t>鳥居型建枠　900×490</t>
  </si>
  <si>
    <t>鳥居型建枠　600　ｱｰﾑﾚｽ</t>
  </si>
  <si>
    <t>ジョイントピン</t>
  </si>
  <si>
    <t>ブレース　1709</t>
  </si>
  <si>
    <t>ブレース　1712</t>
  </si>
  <si>
    <t>ブレース　1715</t>
  </si>
  <si>
    <t>ブレース　1718</t>
  </si>
  <si>
    <t>ブレース　1206</t>
  </si>
  <si>
    <t>ﾛﾝｸﾞｷｬｯﾁｬｰ　兼用自在</t>
  </si>
  <si>
    <t>ブレース　1209</t>
  </si>
  <si>
    <t>ｼｰﾄｸﾗﾝﾌﾟ</t>
  </si>
  <si>
    <t>ブレース　1212</t>
  </si>
  <si>
    <t>ﾈｯﾄｸﾗﾝﾌﾟ</t>
  </si>
  <si>
    <t>ブレース　1215</t>
  </si>
  <si>
    <t>ガードメッシュシート　1.8×5.1</t>
  </si>
  <si>
    <t>ブレース　1218</t>
  </si>
  <si>
    <t>ガードメッシュシート　1.5×1.2</t>
  </si>
  <si>
    <t>ブレース　9006</t>
  </si>
  <si>
    <t>ガードメッシュシート　1.2×5.1</t>
  </si>
  <si>
    <t>ブレース　9009</t>
  </si>
  <si>
    <t>ガードメッシュシート　0.9×5.1</t>
  </si>
  <si>
    <t>ブレース　9012</t>
  </si>
  <si>
    <t>ガードメッシュシート　0.6×5.1</t>
  </si>
  <si>
    <t>ブレース　9015</t>
  </si>
  <si>
    <t>ブレース　9018</t>
  </si>
  <si>
    <t>ブレース　4906</t>
  </si>
  <si>
    <t>ブレース　4909</t>
  </si>
  <si>
    <t>ＧＣハリップ</t>
  </si>
  <si>
    <t>ブレース　4912</t>
  </si>
  <si>
    <t>ロープクリップ</t>
  </si>
  <si>
    <t>ブレース　4915</t>
  </si>
  <si>
    <t>シートクランプ</t>
  </si>
  <si>
    <t>ブレース　4918</t>
  </si>
  <si>
    <t>シングルネット　1×6</t>
  </si>
  <si>
    <t>シングルネット　2×6</t>
  </si>
  <si>
    <t>シングルネット　3×6</t>
  </si>
  <si>
    <t>シングルネット　5×5</t>
  </si>
  <si>
    <t>シングルネット　6×6</t>
  </si>
  <si>
    <t>シングルネット　8×8</t>
  </si>
  <si>
    <t>シングルネット　5×10</t>
  </si>
  <si>
    <t>ＳＴＢネットブラケット</t>
  </si>
  <si>
    <t>ビデー用手摺　１５００</t>
  </si>
  <si>
    <t>ビデー用手摺　９００</t>
  </si>
  <si>
    <t>ビデー用手摺　６１０</t>
  </si>
  <si>
    <t>チェーンクランプ　80</t>
  </si>
  <si>
    <t>チェーンクランプ　100</t>
  </si>
  <si>
    <t>アイアンマン　ＡＣ-50</t>
  </si>
  <si>
    <t>ブルマン　Ｃ-90</t>
  </si>
  <si>
    <t>ブルマン　Ｃ-130</t>
  </si>
  <si>
    <t>アウトリガー</t>
  </si>
  <si>
    <t>コンビステップ　500</t>
  </si>
  <si>
    <t>コンビステップ　600</t>
  </si>
  <si>
    <t>コンビステップ　900</t>
  </si>
  <si>
    <t>コーナーステップ　500</t>
  </si>
  <si>
    <t>コーナーステップ　240</t>
  </si>
  <si>
    <t>鋼製足場板　５００×１５００</t>
  </si>
  <si>
    <t>二連ハシゴ　6Ｍ</t>
  </si>
  <si>
    <t>鋼製足場板　５００×１２００</t>
  </si>
  <si>
    <t>鋼製足場板　５００×９００</t>
  </si>
  <si>
    <t>二連ハシゴ　10Ｍ</t>
  </si>
  <si>
    <t>鋼製足場板　５００×６１０</t>
  </si>
  <si>
    <t>一連ハシゴ　2Ｍ</t>
  </si>
  <si>
    <t>一連ハシゴ　3Ｍ</t>
  </si>
  <si>
    <t>鋼製足場板　２４０×１５００</t>
  </si>
  <si>
    <t>一連ハシゴ　4Ｍ</t>
  </si>
  <si>
    <t>鋼製足場板　２４０×１２００</t>
  </si>
  <si>
    <t>一連ハシゴ　5Ｍ</t>
  </si>
  <si>
    <t>鋼製足場板　２４０×９００</t>
  </si>
  <si>
    <t>鋼製足場板　２４０×６１０</t>
  </si>
  <si>
    <t>ステップバー</t>
  </si>
  <si>
    <t>モンキータラップ</t>
  </si>
  <si>
    <t>バリスター</t>
  </si>
  <si>
    <t>ダブルエンドストッパー</t>
  </si>
  <si>
    <t>壁つなぎ　Ｈ－１０００</t>
  </si>
  <si>
    <t>ブラケット　300</t>
  </si>
  <si>
    <t>クイックブラケット　500</t>
  </si>
  <si>
    <t>カラーコーン</t>
  </si>
  <si>
    <t>コーンバー</t>
  </si>
  <si>
    <t>スタンション　Ｓ-1</t>
  </si>
  <si>
    <t>スタンション　Ｓ-2</t>
  </si>
  <si>
    <t>スタンション　ＮＲＥ</t>
  </si>
  <si>
    <t>セーフティーブロック　10Ｍ</t>
  </si>
  <si>
    <t>敷鉄板　２２Ｘ３×６</t>
  </si>
  <si>
    <t>セーフティーブロック　15Ｍ</t>
  </si>
  <si>
    <t>セーフティーブロック　20Ｍ</t>
  </si>
  <si>
    <t>ゴムマット1×2</t>
  </si>
  <si>
    <t>アルミ足場板  1.5Ｍ</t>
  </si>
  <si>
    <t>アルミ足場板  1.0Ｍ</t>
  </si>
  <si>
    <t>ビデー用アルミ階段</t>
  </si>
  <si>
    <t>ｱﾙﾐｽｶｲｶﾞｰﾄﾞ</t>
  </si>
  <si>
    <t>スチール足場板　3Ｍ</t>
  </si>
  <si>
    <t>スチール足場板　2Ｍ</t>
  </si>
  <si>
    <t>スチール足場板　4Ｍ</t>
  </si>
  <si>
    <t>アルミ足場板　4Ｍ</t>
  </si>
  <si>
    <t>アルミ足場板　3Ｍ</t>
  </si>
  <si>
    <t>アルミ足場板　2Ｍ</t>
  </si>
  <si>
    <t>ｽﾃｯﾌﾟ付脚立　9尺</t>
  </si>
  <si>
    <t>ｽﾃｯﾌﾟ付脚立　7尺</t>
  </si>
  <si>
    <t>ｽﾃｯﾌﾟ付脚立　6尺</t>
  </si>
  <si>
    <t>ｽﾃｯﾌﾟ付脚立　4尺</t>
  </si>
  <si>
    <t>ｽﾃｯﾌﾟ付脚立　3尺</t>
  </si>
  <si>
    <t>壁つなぎ　H-200</t>
  </si>
  <si>
    <t>壁つなぎ　H-300</t>
  </si>
  <si>
    <t>壁つなぎ　H-400</t>
  </si>
  <si>
    <t>壁つなぎ　H-600</t>
  </si>
  <si>
    <t>壁つなぎ　H-800</t>
  </si>
  <si>
    <t>壁つなぎ　H-1000</t>
  </si>
  <si>
    <t>ブラケット　900</t>
  </si>
  <si>
    <t>ブラケット　600</t>
  </si>
  <si>
    <t>二連ハシゴ　8Ｍ</t>
  </si>
  <si>
    <t>スチール足場板　1.5Ｍ</t>
  </si>
  <si>
    <t>スチール足場板　1Ｍ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</si>
</sst>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20"/>
      <name val="明朝"/>
      <family val="1"/>
    </font>
    <font>
      <sz val="26"/>
      <name val="明朝"/>
      <family val="1"/>
    </font>
    <font>
      <sz val="20"/>
      <color indexed="8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36"/>
      <name val="明朝"/>
      <family val="1"/>
    </font>
    <font>
      <u val="single"/>
      <sz val="5.5"/>
      <color indexed="12"/>
      <name val="明朝"/>
      <family val="1"/>
    </font>
    <font>
      <u val="single"/>
      <sz val="5.5"/>
      <color indexed="36"/>
      <name val="明朝"/>
      <family val="1"/>
    </font>
    <font>
      <sz val="11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8" fontId="6" fillId="2" borderId="1" xfId="17" applyFont="1" applyFill="1" applyBorder="1" applyAlignment="1">
      <alignment/>
    </xf>
    <xf numFmtId="0" fontId="6" fillId="2" borderId="1" xfId="0" applyFont="1" applyFill="1" applyBorder="1" applyAlignment="1">
      <alignment/>
    </xf>
    <xf numFmtId="38" fontId="4" fillId="2" borderId="1" xfId="17" applyFont="1" applyFill="1" applyBorder="1" applyAlignment="1">
      <alignment/>
    </xf>
    <xf numFmtId="0" fontId="6" fillId="0" borderId="2" xfId="0" applyFont="1" applyFill="1" applyBorder="1" applyAlignment="1">
      <alignment/>
    </xf>
    <xf numFmtId="38" fontId="4" fillId="0" borderId="2" xfId="17" applyFont="1" applyFill="1" applyBorder="1" applyAlignment="1">
      <alignment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 horizontal="right"/>
    </xf>
    <xf numFmtId="38" fontId="14" fillId="0" borderId="2" xfId="17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2" xfId="0" applyFont="1" applyBorder="1" applyAlignment="1">
      <alignment/>
    </xf>
    <xf numFmtId="38" fontId="15" fillId="3" borderId="1" xfId="17" applyFont="1" applyFill="1" applyBorder="1" applyAlignment="1">
      <alignment/>
    </xf>
    <xf numFmtId="0" fontId="15" fillId="3" borderId="1" xfId="0" applyFont="1" applyFill="1" applyBorder="1" applyAlignment="1">
      <alignment/>
    </xf>
    <xf numFmtId="38" fontId="14" fillId="3" borderId="1" xfId="17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38" fontId="18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8" fontId="20" fillId="3" borderId="1" xfId="17" applyFont="1" applyFill="1" applyBorder="1" applyAlignment="1">
      <alignment/>
    </xf>
    <xf numFmtId="38" fontId="12" fillId="3" borderId="1" xfId="17" applyFont="1" applyFill="1" applyBorder="1" applyAlignment="1">
      <alignment/>
    </xf>
    <xf numFmtId="0" fontId="20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2" xfId="0" applyFont="1" applyBorder="1" applyAlignment="1">
      <alignment/>
    </xf>
    <xf numFmtId="38" fontId="12" fillId="3" borderId="2" xfId="17" applyFont="1" applyFill="1" applyBorder="1" applyAlignment="1">
      <alignment/>
    </xf>
    <xf numFmtId="0" fontId="12" fillId="0" borderId="2" xfId="0" applyFont="1" applyBorder="1" applyAlignment="1">
      <alignment horizontal="right"/>
    </xf>
    <xf numFmtId="0" fontId="20" fillId="0" borderId="2" xfId="0" applyFont="1" applyFill="1" applyBorder="1" applyAlignment="1">
      <alignment/>
    </xf>
    <xf numFmtId="38" fontId="12" fillId="0" borderId="2" xfId="17" applyFont="1" applyFill="1" applyBorder="1" applyAlignment="1">
      <alignment/>
    </xf>
    <xf numFmtId="38" fontId="14" fillId="0" borderId="1" xfId="17" applyFont="1" applyBorder="1" applyAlignment="1">
      <alignment/>
    </xf>
    <xf numFmtId="38" fontId="12" fillId="0" borderId="0" xfId="17" applyFont="1" applyAlignment="1">
      <alignment/>
    </xf>
    <xf numFmtId="38" fontId="14" fillId="0" borderId="1" xfId="17" applyFont="1" applyBorder="1" applyAlignment="1">
      <alignment horizontal="center"/>
    </xf>
    <xf numFmtId="0" fontId="13" fillId="0" borderId="0" xfId="0" applyFont="1" applyAlignment="1">
      <alignment horizontal="left"/>
    </xf>
    <xf numFmtId="38" fontId="18" fillId="4" borderId="4" xfId="0" applyNumberFormat="1" applyFont="1" applyFill="1" applyBorder="1" applyAlignment="1">
      <alignment horizontal="right"/>
    </xf>
    <xf numFmtId="38" fontId="18" fillId="4" borderId="5" xfId="0" applyNumberFormat="1" applyFont="1" applyFill="1" applyBorder="1" applyAlignment="1">
      <alignment horizontal="righ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38" fontId="19" fillId="4" borderId="4" xfId="0" applyNumberFormat="1" applyFont="1" applyFill="1" applyBorder="1" applyAlignment="1">
      <alignment horizontal="right"/>
    </xf>
    <xf numFmtId="38" fontId="19" fillId="4" borderId="5" xfId="0" applyNumberFormat="1" applyFont="1" applyFill="1" applyBorder="1" applyAlignment="1">
      <alignment horizontal="right"/>
    </xf>
    <xf numFmtId="40" fontId="9" fillId="0" borderId="0" xfId="17" applyNumberFormat="1" applyFont="1" applyAlignment="1">
      <alignment horizontal="right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0</xdr:row>
      <xdr:rowOff>152400</xdr:rowOff>
    </xdr:from>
    <xdr:to>
      <xdr:col>6</xdr:col>
      <xdr:colOff>2066925</xdr:colOff>
      <xdr:row>1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7296150" y="152400"/>
          <a:ext cx="9820275" cy="5429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重量計算書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0</xdr:row>
      <xdr:rowOff>152400</xdr:rowOff>
    </xdr:from>
    <xdr:to>
      <xdr:col>6</xdr:col>
      <xdr:colOff>2066925</xdr:colOff>
      <xdr:row>1</xdr:row>
      <xdr:rowOff>304800</xdr:rowOff>
    </xdr:to>
    <xdr:sp>
      <xdr:nvSpPr>
        <xdr:cNvPr id="1" name="AutoShape 4"/>
        <xdr:cNvSpPr>
          <a:spLocks/>
        </xdr:cNvSpPr>
      </xdr:nvSpPr>
      <xdr:spPr>
        <a:xfrm>
          <a:off x="7296150" y="152400"/>
          <a:ext cx="9820275" cy="5429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重量計算書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zoomScale="50" zoomScaleNormal="50" workbookViewId="0" topLeftCell="A1">
      <pane ySplit="5" topLeftCell="BM6" activePane="bottomLeft" state="frozen"/>
      <selection pane="topLeft" activeCell="A1" sqref="A1"/>
      <selection pane="bottomLeft" activeCell="B77" sqref="B77"/>
    </sheetView>
  </sheetViews>
  <sheetFormatPr defaultColWidth="8.796875" defaultRowHeight="24" customHeight="1"/>
  <cols>
    <col min="1" max="1" width="46.59765625" style="12" customWidth="1"/>
    <col min="2" max="2" width="14.5" style="12" customWidth="1"/>
    <col min="3" max="3" width="17.59765625" style="12" customWidth="1"/>
    <col min="4" max="4" width="46.59765625" style="12" customWidth="1"/>
    <col min="5" max="5" width="15.09765625" style="12" customWidth="1"/>
    <col min="6" max="6" width="17.59765625" style="12" customWidth="1"/>
    <col min="7" max="7" width="46.69921875" style="12" customWidth="1"/>
    <col min="8" max="8" width="15.19921875" style="12" customWidth="1"/>
    <col min="9" max="9" width="17.69921875" style="40" customWidth="1"/>
    <col min="10" max="16384" width="9" style="12" customWidth="1"/>
  </cols>
  <sheetData>
    <row r="1" spans="1:15" ht="30.75">
      <c r="A1" s="42"/>
      <c r="B1" s="42"/>
      <c r="C1" s="42"/>
      <c r="D1" s="42"/>
      <c r="O1" s="24"/>
    </row>
    <row r="2" spans="1:15" ht="31.5" thickBot="1">
      <c r="A2" s="25" t="s">
        <v>245</v>
      </c>
      <c r="B2" s="25">
        <f>SUM(F3/2900)</f>
        <v>0</v>
      </c>
      <c r="C2" s="25" t="s">
        <v>242</v>
      </c>
      <c r="D2" s="25"/>
      <c r="E2" s="19"/>
      <c r="F2" s="27"/>
      <c r="O2" s="24"/>
    </row>
    <row r="3" spans="1:15" ht="30.75">
      <c r="A3" s="25" t="s">
        <v>246</v>
      </c>
      <c r="B3" s="25">
        <f>SUM(F3/7000)</f>
        <v>0</v>
      </c>
      <c r="C3" s="25" t="s">
        <v>242</v>
      </c>
      <c r="D3" s="25"/>
      <c r="E3" s="45" t="s">
        <v>2</v>
      </c>
      <c r="F3" s="43">
        <f>C132+F132+I59</f>
        <v>0</v>
      </c>
      <c r="O3" s="24"/>
    </row>
    <row r="4" spans="1:15" ht="31.5" thickBot="1">
      <c r="A4" s="25" t="s">
        <v>244</v>
      </c>
      <c r="B4" s="25">
        <f>SUM(F3/9000)</f>
        <v>0</v>
      </c>
      <c r="C4" s="25" t="s">
        <v>242</v>
      </c>
      <c r="D4" s="25"/>
      <c r="E4" s="46"/>
      <c r="F4" s="44"/>
      <c r="O4" s="24"/>
    </row>
    <row r="5" spans="1:9" ht="24" customHeight="1">
      <c r="A5" s="13" t="s">
        <v>3</v>
      </c>
      <c r="B5" s="13" t="s">
        <v>4</v>
      </c>
      <c r="C5" s="13" t="s">
        <v>5</v>
      </c>
      <c r="D5" s="13" t="s">
        <v>3</v>
      </c>
      <c r="E5" s="26" t="s">
        <v>4</v>
      </c>
      <c r="F5" s="26" t="s">
        <v>5</v>
      </c>
      <c r="G5" s="13" t="s">
        <v>3</v>
      </c>
      <c r="H5" s="13" t="s">
        <v>4</v>
      </c>
      <c r="I5" s="41" t="s">
        <v>5</v>
      </c>
    </row>
    <row r="6" spans="1:9" ht="22.5" customHeight="1">
      <c r="A6" s="14" t="s">
        <v>247</v>
      </c>
      <c r="B6" s="21"/>
      <c r="C6" s="39">
        <f>B6*15</f>
        <v>0</v>
      </c>
      <c r="D6" s="14" t="s">
        <v>461</v>
      </c>
      <c r="E6" s="23"/>
      <c r="F6" s="39">
        <f>E6*13.2</f>
        <v>0</v>
      </c>
      <c r="G6" s="14" t="s">
        <v>248</v>
      </c>
      <c r="H6" s="23"/>
      <c r="I6" s="39">
        <f>H6*1.05</f>
        <v>0</v>
      </c>
    </row>
    <row r="7" spans="1:9" ht="22.5" customHeight="1">
      <c r="A7" s="14" t="s">
        <v>249</v>
      </c>
      <c r="B7" s="21"/>
      <c r="C7" s="39">
        <f>B7*15.6</f>
        <v>0</v>
      </c>
      <c r="D7" s="14" t="s">
        <v>459</v>
      </c>
      <c r="E7" s="23"/>
      <c r="F7" s="39">
        <f>E7*9.3</f>
        <v>0</v>
      </c>
      <c r="G7" s="14" t="s">
        <v>250</v>
      </c>
      <c r="H7" s="23"/>
      <c r="I7" s="39">
        <f>2.1*H7</f>
        <v>0</v>
      </c>
    </row>
    <row r="8" spans="1:9" ht="22.5" customHeight="1">
      <c r="A8" s="14" t="s">
        <v>251</v>
      </c>
      <c r="B8" s="21"/>
      <c r="C8" s="39">
        <f>B8*16</f>
        <v>0</v>
      </c>
      <c r="D8" s="14" t="s">
        <v>460</v>
      </c>
      <c r="E8" s="23"/>
      <c r="F8" s="39">
        <f>E8*7</f>
        <v>0</v>
      </c>
      <c r="G8" s="14" t="s">
        <v>252</v>
      </c>
      <c r="H8" s="23"/>
      <c r="I8" s="39">
        <f>4.2*H8</f>
        <v>0</v>
      </c>
    </row>
    <row r="9" spans="1:16" ht="22.5" customHeight="1">
      <c r="A9" s="14" t="s">
        <v>253</v>
      </c>
      <c r="B9" s="21"/>
      <c r="C9" s="39">
        <f>B9*13.8</f>
        <v>0</v>
      </c>
      <c r="D9" s="14" t="s">
        <v>479</v>
      </c>
      <c r="E9" s="23"/>
      <c r="F9" s="39">
        <f>E9*5.2</f>
        <v>0</v>
      </c>
      <c r="G9" s="14" t="s">
        <v>254</v>
      </c>
      <c r="H9" s="23"/>
      <c r="I9" s="39">
        <f>6.3*H9</f>
        <v>0</v>
      </c>
      <c r="P9" s="24"/>
    </row>
    <row r="10" spans="1:9" ht="22.5" customHeight="1">
      <c r="A10" s="14" t="s">
        <v>255</v>
      </c>
      <c r="B10" s="21"/>
      <c r="C10" s="39">
        <f>B10*11</f>
        <v>0</v>
      </c>
      <c r="D10" s="14" t="s">
        <v>480</v>
      </c>
      <c r="E10" s="23"/>
      <c r="F10" s="39">
        <f>E10*3.4</f>
        <v>0</v>
      </c>
      <c r="G10" s="14" t="s">
        <v>256</v>
      </c>
      <c r="H10" s="23"/>
      <c r="I10" s="39">
        <f>9.5*H10</f>
        <v>0</v>
      </c>
    </row>
    <row r="11" spans="1:9" ht="22.5" customHeight="1">
      <c r="A11" s="14" t="s">
        <v>257</v>
      </c>
      <c r="B11" s="21"/>
      <c r="C11" s="39">
        <f>B11*9.5</f>
        <v>0</v>
      </c>
      <c r="D11" s="14" t="s">
        <v>462</v>
      </c>
      <c r="E11" s="23"/>
      <c r="F11" s="39">
        <f>E11*7.2</f>
        <v>0</v>
      </c>
      <c r="G11" s="14" t="s">
        <v>258</v>
      </c>
      <c r="H11" s="23"/>
      <c r="I11" s="39">
        <f>8.75*H11</f>
        <v>0</v>
      </c>
    </row>
    <row r="12" spans="1:9" ht="22.5" customHeight="1">
      <c r="A12" s="14" t="s">
        <v>259</v>
      </c>
      <c r="B12" s="22"/>
      <c r="C12" s="39">
        <f>B12*13.7</f>
        <v>0</v>
      </c>
      <c r="D12" s="14" t="s">
        <v>463</v>
      </c>
      <c r="E12" s="23"/>
      <c r="F12" s="39">
        <f>E12*5.7</f>
        <v>0</v>
      </c>
      <c r="G12" s="14" t="s">
        <v>260</v>
      </c>
      <c r="H12" s="23"/>
      <c r="I12" s="39">
        <f>12.6*H12</f>
        <v>0</v>
      </c>
    </row>
    <row r="13" spans="1:9" ht="22.5" customHeight="1">
      <c r="A13" s="14" t="s">
        <v>261</v>
      </c>
      <c r="B13" s="22"/>
      <c r="C13" s="39">
        <f>B13*12.8</f>
        <v>0</v>
      </c>
      <c r="D13" s="14" t="s">
        <v>464</v>
      </c>
      <c r="E13" s="23"/>
      <c r="F13" s="39">
        <f>E13*3.8</f>
        <v>0</v>
      </c>
      <c r="G13" s="14" t="s">
        <v>262</v>
      </c>
      <c r="H13" s="23"/>
      <c r="I13" s="39">
        <f>17.15*H13</f>
        <v>0</v>
      </c>
    </row>
    <row r="14" spans="1:9" ht="22.5" customHeight="1">
      <c r="A14" s="14" t="s">
        <v>263</v>
      </c>
      <c r="B14" s="22"/>
      <c r="C14" s="39">
        <f>B14*9.5</f>
        <v>0</v>
      </c>
      <c r="D14" s="14" t="s">
        <v>455</v>
      </c>
      <c r="E14" s="23"/>
      <c r="F14" s="39">
        <f>E14*3</f>
        <v>0</v>
      </c>
      <c r="G14" s="14" t="s">
        <v>264</v>
      </c>
      <c r="H14" s="23"/>
      <c r="I14" s="39">
        <f>22.4*H14</f>
        <v>0</v>
      </c>
    </row>
    <row r="15" spans="1:9" ht="22.5" customHeight="1">
      <c r="A15" s="14" t="s">
        <v>265</v>
      </c>
      <c r="B15" s="22"/>
      <c r="C15" s="39">
        <f>B15*9</f>
        <v>0</v>
      </c>
      <c r="D15" s="14" t="s">
        <v>456</v>
      </c>
      <c r="E15" s="23"/>
      <c r="F15" s="39">
        <f>E15*2</f>
        <v>0</v>
      </c>
      <c r="G15" s="14" t="s">
        <v>266</v>
      </c>
      <c r="H15" s="23"/>
      <c r="I15" s="39">
        <f>17.5*H15</f>
        <v>0</v>
      </c>
    </row>
    <row r="16" spans="1:16" ht="22.5" customHeight="1">
      <c r="A16" s="14" t="s">
        <v>267</v>
      </c>
      <c r="B16" s="22"/>
      <c r="C16" s="39">
        <f>B16*6.6</f>
        <v>0</v>
      </c>
      <c r="D16" s="14" t="s">
        <v>121</v>
      </c>
      <c r="E16" s="23"/>
      <c r="F16" s="39">
        <f>E16*11.5</f>
        <v>0</v>
      </c>
      <c r="G16" s="14" t="s">
        <v>218</v>
      </c>
      <c r="H16" s="23"/>
      <c r="I16" s="39">
        <f>1.8*H16</f>
        <v>0</v>
      </c>
      <c r="P16" s="24"/>
    </row>
    <row r="17" spans="1:9" ht="22.5" customHeight="1">
      <c r="A17" s="14" t="s">
        <v>268</v>
      </c>
      <c r="B17" s="22"/>
      <c r="C17" s="39">
        <f>B17*11.8</f>
        <v>0</v>
      </c>
      <c r="D17" s="14" t="s">
        <v>122</v>
      </c>
      <c r="E17" s="23"/>
      <c r="F17" s="39">
        <f>E17*7.4</f>
        <v>0</v>
      </c>
      <c r="G17" s="14" t="s">
        <v>219</v>
      </c>
      <c r="H17" s="23"/>
      <c r="I17" s="39">
        <f>3.6*H17</f>
        <v>0</v>
      </c>
    </row>
    <row r="18" spans="1:9" ht="22.5" customHeight="1">
      <c r="A18" s="14" t="s">
        <v>154</v>
      </c>
      <c r="B18" s="22"/>
      <c r="C18" s="39">
        <f>B18*9.6</f>
        <v>0</v>
      </c>
      <c r="D18" s="14" t="s">
        <v>123</v>
      </c>
      <c r="E18" s="23"/>
      <c r="F18" s="39">
        <f>E18*5.8</f>
        <v>0</v>
      </c>
      <c r="G18" s="14" t="s">
        <v>220</v>
      </c>
      <c r="H18" s="23"/>
      <c r="I18" s="39">
        <f>5.4*H18</f>
        <v>0</v>
      </c>
    </row>
    <row r="19" spans="1:9" ht="22.5" customHeight="1">
      <c r="A19" s="14" t="s">
        <v>155</v>
      </c>
      <c r="B19" s="22"/>
      <c r="C19" s="39">
        <f>B19*9.5</f>
        <v>0</v>
      </c>
      <c r="D19" s="14" t="s">
        <v>148</v>
      </c>
      <c r="E19" s="23"/>
      <c r="F19" s="39">
        <f>E19*0.3</f>
        <v>0</v>
      </c>
      <c r="G19" s="14" t="s">
        <v>221</v>
      </c>
      <c r="H19" s="23"/>
      <c r="I19" s="39">
        <f>7.2*H19</f>
        <v>0</v>
      </c>
    </row>
    <row r="20" spans="1:9" ht="22.5" customHeight="1">
      <c r="A20" s="14" t="s">
        <v>156</v>
      </c>
      <c r="B20" s="22"/>
      <c r="C20" s="39">
        <f>B20*7</f>
        <v>0</v>
      </c>
      <c r="D20" s="14" t="s">
        <v>25</v>
      </c>
      <c r="E20" s="23"/>
      <c r="F20" s="39">
        <f>E20*0.78</f>
        <v>0</v>
      </c>
      <c r="G20" s="14" t="s">
        <v>222</v>
      </c>
      <c r="H20" s="23"/>
      <c r="I20" s="39">
        <f>10.8*H20</f>
        <v>0</v>
      </c>
    </row>
    <row r="21" spans="1:9" ht="22.5" customHeight="1">
      <c r="A21" s="14" t="s">
        <v>157</v>
      </c>
      <c r="B21" s="22"/>
      <c r="C21" s="39">
        <f>B21*5</f>
        <v>0</v>
      </c>
      <c r="D21" s="14" t="s">
        <v>27</v>
      </c>
      <c r="E21" s="23"/>
      <c r="F21" s="39">
        <f>E21*0.78</f>
        <v>0</v>
      </c>
      <c r="G21" s="14" t="s">
        <v>223</v>
      </c>
      <c r="H21" s="23"/>
      <c r="I21" s="39">
        <f>1.5*H21</f>
        <v>0</v>
      </c>
    </row>
    <row r="22" spans="1:9" ht="22.5" customHeight="1">
      <c r="A22" s="14" t="s">
        <v>269</v>
      </c>
      <c r="B22" s="22"/>
      <c r="C22" s="39">
        <f>B22*0.6</f>
        <v>0</v>
      </c>
      <c r="D22" s="14" t="s">
        <v>29</v>
      </c>
      <c r="E22" s="23"/>
      <c r="F22" s="39">
        <f>E22*1.08</f>
        <v>0</v>
      </c>
      <c r="G22" s="14" t="s">
        <v>224</v>
      </c>
      <c r="H22" s="23"/>
      <c r="I22" s="39">
        <f>7.35*H22</f>
        <v>0</v>
      </c>
    </row>
    <row r="23" spans="1:9" ht="22.5" customHeight="1">
      <c r="A23" s="14" t="s">
        <v>12</v>
      </c>
      <c r="B23" s="22"/>
      <c r="C23" s="39">
        <f>B23*19.48</f>
        <v>0</v>
      </c>
      <c r="D23" s="14" t="s">
        <v>31</v>
      </c>
      <c r="E23" s="23"/>
      <c r="F23" s="39">
        <f>E23*1.11</f>
        <v>0</v>
      </c>
      <c r="G23" s="14" t="s">
        <v>225</v>
      </c>
      <c r="H23" s="23"/>
      <c r="I23" s="39">
        <f>10.5*H23</f>
        <v>0</v>
      </c>
    </row>
    <row r="24" spans="1:9" ht="22.5" customHeight="1">
      <c r="A24" s="14" t="s">
        <v>14</v>
      </c>
      <c r="B24" s="22"/>
      <c r="C24" s="39">
        <f>B24*12.1</f>
        <v>0</v>
      </c>
      <c r="D24" s="14" t="s">
        <v>131</v>
      </c>
      <c r="E24" s="23"/>
      <c r="F24" s="39">
        <f>E24*1.1</f>
        <v>0</v>
      </c>
      <c r="G24" s="14" t="s">
        <v>226</v>
      </c>
      <c r="H24" s="23"/>
      <c r="I24" s="39">
        <f>14.7*H24</f>
        <v>0</v>
      </c>
    </row>
    <row r="25" spans="1:9" ht="22.5" customHeight="1">
      <c r="A25" s="14" t="s">
        <v>270</v>
      </c>
      <c r="B25" s="22"/>
      <c r="C25" s="39">
        <f>B25*2.9</f>
        <v>0</v>
      </c>
      <c r="D25" s="14" t="s">
        <v>132</v>
      </c>
      <c r="E25" s="23"/>
      <c r="F25" s="39">
        <f>E25*1.18</f>
        <v>0</v>
      </c>
      <c r="G25" s="14" t="s">
        <v>227</v>
      </c>
      <c r="H25" s="23"/>
      <c r="I25" s="39">
        <f>1.6*H25</f>
        <v>0</v>
      </c>
    </row>
    <row r="26" spans="1:9" ht="22.5" customHeight="1">
      <c r="A26" s="14" t="s">
        <v>271</v>
      </c>
      <c r="B26" s="22"/>
      <c r="C26" s="39">
        <f>B26*3.3</f>
        <v>0</v>
      </c>
      <c r="D26" s="14" t="s">
        <v>133</v>
      </c>
      <c r="E26" s="23"/>
      <c r="F26" s="39">
        <f>E26*1.23</f>
        <v>0</v>
      </c>
      <c r="G26" s="14" t="s">
        <v>212</v>
      </c>
      <c r="H26" s="23"/>
      <c r="I26" s="39">
        <f>2*H26</f>
        <v>0</v>
      </c>
    </row>
    <row r="27" spans="1:9" ht="22.5" customHeight="1">
      <c r="A27" s="14" t="s">
        <v>272</v>
      </c>
      <c r="B27" s="22"/>
      <c r="C27" s="39">
        <f>B27*3.7</f>
        <v>0</v>
      </c>
      <c r="D27" s="14" t="s">
        <v>134</v>
      </c>
      <c r="E27" s="23"/>
      <c r="F27" s="39">
        <f>E27*1.26</f>
        <v>0</v>
      </c>
      <c r="G27" s="14" t="s">
        <v>213</v>
      </c>
      <c r="H27" s="23"/>
      <c r="I27" s="39">
        <f>2.6*H27</f>
        <v>0</v>
      </c>
    </row>
    <row r="28" spans="1:9" ht="22.5" customHeight="1">
      <c r="A28" s="14" t="s">
        <v>273</v>
      </c>
      <c r="B28" s="22"/>
      <c r="C28" s="39">
        <f>B28*4.2</f>
        <v>0</v>
      </c>
      <c r="D28" s="14" t="s">
        <v>135</v>
      </c>
      <c r="E28" s="23"/>
      <c r="F28" s="39">
        <f>E28*1.54</f>
        <v>0</v>
      </c>
      <c r="G28" s="14" t="s">
        <v>214</v>
      </c>
      <c r="H28" s="23"/>
      <c r="I28" s="39">
        <f>3.3*H28</f>
        <v>0</v>
      </c>
    </row>
    <row r="29" spans="1:9" ht="22.5" customHeight="1">
      <c r="A29" s="14" t="s">
        <v>274</v>
      </c>
      <c r="B29" s="22"/>
      <c r="C29" s="39">
        <f>B29*2.1</f>
        <v>0</v>
      </c>
      <c r="D29" s="14" t="s">
        <v>275</v>
      </c>
      <c r="E29" s="23"/>
      <c r="F29" s="39">
        <f>E29*1.6</f>
        <v>0</v>
      </c>
      <c r="G29" s="14" t="s">
        <v>228</v>
      </c>
      <c r="H29" s="23"/>
      <c r="I29" s="39">
        <f>4*H29</f>
        <v>0</v>
      </c>
    </row>
    <row r="30" spans="1:9" ht="22.5" customHeight="1">
      <c r="A30" s="14" t="s">
        <v>276</v>
      </c>
      <c r="B30" s="22"/>
      <c r="C30" s="39">
        <f>B30*2.4</f>
        <v>0</v>
      </c>
      <c r="D30" s="14" t="s">
        <v>277</v>
      </c>
      <c r="E30" s="23"/>
      <c r="F30" s="39">
        <f>E30*0.43</f>
        <v>0</v>
      </c>
      <c r="G30" s="14" t="s">
        <v>215</v>
      </c>
      <c r="H30" s="23"/>
      <c r="I30" s="39">
        <f>5*H30</f>
        <v>0</v>
      </c>
    </row>
    <row r="31" spans="1:9" ht="22.5" customHeight="1">
      <c r="A31" s="14" t="s">
        <v>278</v>
      </c>
      <c r="B31" s="22"/>
      <c r="C31" s="39">
        <f>B31*2.9</f>
        <v>0</v>
      </c>
      <c r="D31" s="14" t="s">
        <v>279</v>
      </c>
      <c r="E31" s="23"/>
      <c r="F31" s="39">
        <f>E31*0.76</f>
        <v>0</v>
      </c>
      <c r="G31" s="14" t="s">
        <v>234</v>
      </c>
      <c r="H31" s="23"/>
      <c r="I31" s="39">
        <f>H31*5.8</f>
        <v>0</v>
      </c>
    </row>
    <row r="32" spans="1:9" ht="22.5" customHeight="1">
      <c r="A32" s="14" t="s">
        <v>280</v>
      </c>
      <c r="B32" s="22"/>
      <c r="C32" s="39">
        <f>B32*3.4</f>
        <v>0</v>
      </c>
      <c r="D32" s="14" t="s">
        <v>35</v>
      </c>
      <c r="E32" s="23"/>
      <c r="F32" s="39">
        <f>E32*16.38</f>
        <v>0</v>
      </c>
      <c r="G32" s="14" t="s">
        <v>281</v>
      </c>
      <c r="H32" s="23"/>
      <c r="I32" s="39">
        <f>5.4*H32</f>
        <v>0</v>
      </c>
    </row>
    <row r="33" spans="1:9" ht="22.5" customHeight="1">
      <c r="A33" s="14" t="s">
        <v>282</v>
      </c>
      <c r="B33" s="22"/>
      <c r="C33" s="39">
        <f>B33*3.9</f>
        <v>0</v>
      </c>
      <c r="D33" s="14" t="s">
        <v>37</v>
      </c>
      <c r="E33" s="23"/>
      <c r="F33" s="39">
        <f>E33*15.015</f>
        <v>0</v>
      </c>
      <c r="G33" s="14" t="s">
        <v>283</v>
      </c>
      <c r="H33" s="23"/>
      <c r="I33" s="39">
        <f>4.4*H33</f>
        <v>0</v>
      </c>
    </row>
    <row r="34" spans="1:9" ht="22.5" customHeight="1">
      <c r="A34" s="14" t="s">
        <v>284</v>
      </c>
      <c r="B34" s="22"/>
      <c r="C34" s="39">
        <f>B34*1.7</f>
        <v>0</v>
      </c>
      <c r="D34" s="14" t="s">
        <v>39</v>
      </c>
      <c r="E34" s="23"/>
      <c r="F34" s="39">
        <f>E34*13.65</f>
        <v>0</v>
      </c>
      <c r="G34" s="14" t="s">
        <v>285</v>
      </c>
      <c r="H34" s="23"/>
      <c r="I34" s="39">
        <f>3.8*H34</f>
        <v>0</v>
      </c>
    </row>
    <row r="35" spans="1:9" ht="22.5" customHeight="1">
      <c r="A35" s="14" t="s">
        <v>286</v>
      </c>
      <c r="B35" s="22"/>
      <c r="C35" s="39">
        <f>B35*2.1</f>
        <v>0</v>
      </c>
      <c r="D35" s="14" t="s">
        <v>41</v>
      </c>
      <c r="E35" s="23"/>
      <c r="F35" s="39">
        <f>E35*12.285</f>
        <v>0</v>
      </c>
      <c r="G35" s="14" t="s">
        <v>287</v>
      </c>
      <c r="H35" s="23"/>
      <c r="I35" s="39">
        <f>2.8*H35</f>
        <v>0</v>
      </c>
    </row>
    <row r="36" spans="1:9" ht="22.5" customHeight="1">
      <c r="A36" s="14" t="s">
        <v>288</v>
      </c>
      <c r="B36" s="22"/>
      <c r="C36" s="39">
        <f>B36*2.6</f>
        <v>0</v>
      </c>
      <c r="D36" s="14" t="s">
        <v>43</v>
      </c>
      <c r="E36" s="23"/>
      <c r="F36" s="39">
        <f>E36*10.92</f>
        <v>0</v>
      </c>
      <c r="G36" s="14" t="s">
        <v>289</v>
      </c>
      <c r="H36" s="23"/>
      <c r="I36" s="39">
        <f>2*H36</f>
        <v>0</v>
      </c>
    </row>
    <row r="37" spans="1:9" ht="22.5" customHeight="1">
      <c r="A37" s="14" t="s">
        <v>290</v>
      </c>
      <c r="B37" s="22"/>
      <c r="C37" s="39">
        <f>B37*3.7</f>
        <v>0</v>
      </c>
      <c r="D37" s="14" t="s">
        <v>45</v>
      </c>
      <c r="E37" s="23"/>
      <c r="F37" s="39">
        <f>E37*9.555</f>
        <v>0</v>
      </c>
      <c r="G37" s="14" t="s">
        <v>231</v>
      </c>
      <c r="H37" s="23"/>
      <c r="I37" s="39">
        <f>4*H37</f>
        <v>0</v>
      </c>
    </row>
    <row r="38" spans="1:9" ht="22.5" customHeight="1">
      <c r="A38" s="14" t="s">
        <v>291</v>
      </c>
      <c r="B38" s="22"/>
      <c r="C38" s="39">
        <f>B38*3.7</f>
        <v>0</v>
      </c>
      <c r="D38" s="14" t="s">
        <v>47</v>
      </c>
      <c r="E38" s="23"/>
      <c r="F38" s="39">
        <f>E38*8.19</f>
        <v>0</v>
      </c>
      <c r="G38" s="14" t="s">
        <v>232</v>
      </c>
      <c r="H38" s="23"/>
      <c r="I38" s="39">
        <f>H38*13</f>
        <v>0</v>
      </c>
    </row>
    <row r="39" spans="1:9" ht="22.5" customHeight="1">
      <c r="A39" s="14" t="s">
        <v>292</v>
      </c>
      <c r="B39" s="22"/>
      <c r="C39" s="39">
        <f>B39*1.4</f>
        <v>0</v>
      </c>
      <c r="D39" s="14" t="s">
        <v>49</v>
      </c>
      <c r="E39" s="23"/>
      <c r="F39" s="39">
        <f>E39*6.825</f>
        <v>0</v>
      </c>
      <c r="G39" s="14" t="s">
        <v>233</v>
      </c>
      <c r="H39" s="23"/>
      <c r="I39" s="39">
        <f>17*H39</f>
        <v>0</v>
      </c>
    </row>
    <row r="40" spans="1:9" ht="22.5" customHeight="1">
      <c r="A40" s="14" t="s">
        <v>293</v>
      </c>
      <c r="B40" s="22"/>
      <c r="C40" s="39">
        <f>B40*2</f>
        <v>0</v>
      </c>
      <c r="D40" s="14" t="s">
        <v>51</v>
      </c>
      <c r="E40" s="23"/>
      <c r="F40" s="39">
        <f>E40*5.46</f>
        <v>0</v>
      </c>
      <c r="G40" s="14" t="s">
        <v>294</v>
      </c>
      <c r="H40" s="23"/>
      <c r="I40" s="39">
        <f>1.6*H40</f>
        <v>0</v>
      </c>
    </row>
    <row r="41" spans="1:9" ht="22.5" customHeight="1">
      <c r="A41" s="14" t="s">
        <v>295</v>
      </c>
      <c r="B41" s="22"/>
      <c r="C41" s="39">
        <f>B41*2.6</f>
        <v>0</v>
      </c>
      <c r="D41" s="14" t="s">
        <v>53</v>
      </c>
      <c r="E41" s="23"/>
      <c r="F41" s="39">
        <f>E41*4.095</f>
        <v>0</v>
      </c>
      <c r="G41" s="14" t="s">
        <v>296</v>
      </c>
      <c r="H41" s="23"/>
      <c r="I41" s="39">
        <f>H41*1.4</f>
        <v>0</v>
      </c>
    </row>
    <row r="42" spans="1:9" ht="22.5" customHeight="1">
      <c r="A42" s="14" t="s">
        <v>297</v>
      </c>
      <c r="B42" s="22"/>
      <c r="C42" s="39">
        <f>B42*3</f>
        <v>0</v>
      </c>
      <c r="D42" s="14" t="s">
        <v>55</v>
      </c>
      <c r="E42" s="23"/>
      <c r="F42" s="39">
        <f>E42*3.276</f>
        <v>0</v>
      </c>
      <c r="G42" s="14" t="s">
        <v>298</v>
      </c>
      <c r="H42" s="23"/>
      <c r="I42" s="39">
        <f>H42*0.4</f>
        <v>0</v>
      </c>
    </row>
    <row r="43" spans="1:15" ht="22.5" customHeight="1">
      <c r="A43" s="14" t="s">
        <v>299</v>
      </c>
      <c r="B43" s="22"/>
      <c r="C43" s="39">
        <f>B43*3.5</f>
        <v>0</v>
      </c>
      <c r="D43" s="14" t="s">
        <v>57</v>
      </c>
      <c r="E43" s="23"/>
      <c r="F43" s="39">
        <f>E43*2.73</f>
        <v>0</v>
      </c>
      <c r="G43" s="14" t="s">
        <v>229</v>
      </c>
      <c r="H43" s="23"/>
      <c r="I43" s="39">
        <f>4.9*H43</f>
        <v>0</v>
      </c>
      <c r="O43" s="18"/>
    </row>
    <row r="44" spans="1:9" ht="22.5" customHeight="1">
      <c r="A44" s="14" t="s">
        <v>18</v>
      </c>
      <c r="B44" s="22"/>
      <c r="C44" s="39">
        <f>B44*3.7</f>
        <v>0</v>
      </c>
      <c r="D44" s="14" t="s">
        <v>59</v>
      </c>
      <c r="E44" s="23"/>
      <c r="F44" s="39">
        <f>E44*0.6</f>
        <v>0</v>
      </c>
      <c r="G44" s="14" t="s">
        <v>230</v>
      </c>
      <c r="H44" s="23"/>
      <c r="I44" s="39">
        <f>8.9*H44</f>
        <v>0</v>
      </c>
    </row>
    <row r="45" spans="1:9" ht="22.5" customHeight="1">
      <c r="A45" s="14" t="s">
        <v>20</v>
      </c>
      <c r="B45" s="22"/>
      <c r="C45" s="39">
        <f>B45*0.85</f>
        <v>0</v>
      </c>
      <c r="D45" s="14" t="s">
        <v>61</v>
      </c>
      <c r="E45" s="23"/>
      <c r="F45" s="39">
        <f>E45*0.65</f>
        <v>0</v>
      </c>
      <c r="G45" s="14" t="s">
        <v>300</v>
      </c>
      <c r="H45" s="23"/>
      <c r="I45" s="39">
        <f>H45*0.9</f>
        <v>0</v>
      </c>
    </row>
    <row r="46" spans="1:9" ht="22.5" customHeight="1">
      <c r="A46" s="14" t="s">
        <v>22</v>
      </c>
      <c r="B46" s="22"/>
      <c r="C46" s="39">
        <f>B46*3.8</f>
        <v>0</v>
      </c>
      <c r="D46" s="14" t="s">
        <v>63</v>
      </c>
      <c r="E46" s="23"/>
      <c r="F46" s="39">
        <f>E46*0.85</f>
        <v>0</v>
      </c>
      <c r="G46" s="14" t="s">
        <v>301</v>
      </c>
      <c r="H46" s="23"/>
      <c r="I46" s="39">
        <f>H46*1.8</f>
        <v>0</v>
      </c>
    </row>
    <row r="47" spans="1:9" ht="22.5" customHeight="1">
      <c r="A47" s="14" t="s">
        <v>24</v>
      </c>
      <c r="B47" s="22"/>
      <c r="C47" s="39">
        <f>B47*5.2</f>
        <v>0</v>
      </c>
      <c r="D47" s="14" t="s">
        <v>172</v>
      </c>
      <c r="E47" s="23"/>
      <c r="F47" s="39">
        <f>E47*1</f>
        <v>0</v>
      </c>
      <c r="G47" s="14" t="s">
        <v>302</v>
      </c>
      <c r="H47" s="23"/>
      <c r="I47" s="39">
        <f>5.4*H47</f>
        <v>0</v>
      </c>
    </row>
    <row r="48" spans="1:9" ht="22.5" customHeight="1">
      <c r="A48" s="14" t="s">
        <v>26</v>
      </c>
      <c r="B48" s="22"/>
      <c r="C48" s="39">
        <f>B48*3.6</f>
        <v>0</v>
      </c>
      <c r="D48" s="14" t="s">
        <v>173</v>
      </c>
      <c r="E48" s="23"/>
      <c r="F48" s="39">
        <f>E48*1.77</f>
        <v>0</v>
      </c>
      <c r="G48" s="14" t="s">
        <v>303</v>
      </c>
      <c r="H48" s="23"/>
      <c r="I48" s="39">
        <f>7.5*H48</f>
        <v>0</v>
      </c>
    </row>
    <row r="49" spans="1:9" ht="22.5" customHeight="1">
      <c r="A49" s="14" t="s">
        <v>171</v>
      </c>
      <c r="B49" s="22"/>
      <c r="C49" s="39">
        <f>B49*4.6</f>
        <v>0</v>
      </c>
      <c r="D49" s="14" t="s">
        <v>191</v>
      </c>
      <c r="E49" s="23"/>
      <c r="F49" s="39">
        <f>E49*9.5</f>
        <v>0</v>
      </c>
      <c r="G49" s="14" t="s">
        <v>304</v>
      </c>
      <c r="H49" s="23"/>
      <c r="I49" s="39">
        <f>10.8*H49</f>
        <v>0</v>
      </c>
    </row>
    <row r="50" spans="1:9" ht="22.5" customHeight="1">
      <c r="A50" s="14" t="s">
        <v>28</v>
      </c>
      <c r="B50" s="22"/>
      <c r="C50" s="39">
        <f>B50*6.6</f>
        <v>0</v>
      </c>
      <c r="D50" s="14" t="s">
        <v>192</v>
      </c>
      <c r="E50" s="23"/>
      <c r="F50" s="39">
        <f>E50*19</f>
        <v>0</v>
      </c>
      <c r="G50" s="14" t="s">
        <v>305</v>
      </c>
      <c r="H50" s="23"/>
      <c r="I50" s="39">
        <f>19.2*H50</f>
        <v>0</v>
      </c>
    </row>
    <row r="51" spans="1:9" ht="22.5" customHeight="1">
      <c r="A51" s="14" t="s">
        <v>30</v>
      </c>
      <c r="B51" s="22"/>
      <c r="C51" s="39">
        <f>B51*3.7</f>
        <v>0</v>
      </c>
      <c r="D51" s="14" t="s">
        <v>193</v>
      </c>
      <c r="E51" s="23"/>
      <c r="F51" s="39">
        <f>E51*28.5</f>
        <v>0</v>
      </c>
      <c r="G51" s="14" t="s">
        <v>306</v>
      </c>
      <c r="H51" s="23"/>
      <c r="I51" s="39">
        <f>15*H51</f>
        <v>0</v>
      </c>
    </row>
    <row r="52" spans="1:9" ht="22.5" customHeight="1">
      <c r="A52" s="14" t="s">
        <v>32</v>
      </c>
      <c r="B52" s="22"/>
      <c r="C52" s="39">
        <f>B52*0.74</f>
        <v>0</v>
      </c>
      <c r="D52" s="14" t="s">
        <v>194</v>
      </c>
      <c r="E52" s="23"/>
      <c r="F52" s="39">
        <f>E52*38</f>
        <v>0</v>
      </c>
      <c r="G52" s="14" t="s">
        <v>235</v>
      </c>
      <c r="H52" s="23"/>
      <c r="I52" s="39">
        <f>17*H52</f>
        <v>0</v>
      </c>
    </row>
    <row r="53" spans="1:9" ht="22.5" customHeight="1">
      <c r="A53" s="14" t="s">
        <v>34</v>
      </c>
      <c r="B53" s="22"/>
      <c r="C53" s="39">
        <f>B53*0.44</f>
        <v>0</v>
      </c>
      <c r="D53" s="14" t="s">
        <v>174</v>
      </c>
      <c r="E53" s="23"/>
      <c r="F53" s="39">
        <f>E53*5.1</f>
        <v>0</v>
      </c>
      <c r="G53" s="14" t="s">
        <v>236</v>
      </c>
      <c r="H53" s="23"/>
      <c r="I53" s="39">
        <f>12.5*H53</f>
        <v>0</v>
      </c>
    </row>
    <row r="54" spans="1:9" ht="22.5" customHeight="1">
      <c r="A54" s="14" t="s">
        <v>36</v>
      </c>
      <c r="B54" s="22"/>
      <c r="C54" s="39">
        <f>B54*0.4</f>
        <v>0</v>
      </c>
      <c r="D54" s="14" t="s">
        <v>175</v>
      </c>
      <c r="E54" s="23"/>
      <c r="F54" s="39">
        <f>E54*6.5</f>
        <v>0</v>
      </c>
      <c r="G54" s="14" t="s">
        <v>237</v>
      </c>
      <c r="H54" s="23"/>
      <c r="I54" s="39">
        <f>12*H54</f>
        <v>0</v>
      </c>
    </row>
    <row r="55" spans="1:9" ht="22.5" customHeight="1">
      <c r="A55" s="14" t="s">
        <v>38</v>
      </c>
      <c r="B55" s="22"/>
      <c r="C55" s="39">
        <f>B55*3.6</f>
        <v>0</v>
      </c>
      <c r="D55" s="14" t="s">
        <v>176</v>
      </c>
      <c r="E55" s="23"/>
      <c r="F55" s="39">
        <f>E55*2.5</f>
        <v>0</v>
      </c>
      <c r="G55" s="14" t="s">
        <v>238</v>
      </c>
      <c r="H55" s="23"/>
      <c r="I55" s="39">
        <f>10.5*H55</f>
        <v>0</v>
      </c>
    </row>
    <row r="56" spans="1:9" ht="22.5" customHeight="1">
      <c r="A56" s="14" t="s">
        <v>40</v>
      </c>
      <c r="B56" s="22"/>
      <c r="C56" s="39">
        <f>B56*10.6</f>
        <v>0</v>
      </c>
      <c r="D56" s="14" t="s">
        <v>189</v>
      </c>
      <c r="E56" s="23"/>
      <c r="F56" s="39">
        <f>E56*3</f>
        <v>0</v>
      </c>
      <c r="G56" s="14" t="s">
        <v>239</v>
      </c>
      <c r="H56" s="23"/>
      <c r="I56" s="39">
        <f>5*H56</f>
        <v>0</v>
      </c>
    </row>
    <row r="57" spans="1:9" ht="22.5" customHeight="1">
      <c r="A57" s="14" t="s">
        <v>42</v>
      </c>
      <c r="B57" s="22"/>
      <c r="C57" s="39">
        <f>B57*12.1</f>
        <v>0</v>
      </c>
      <c r="D57" s="14" t="s">
        <v>190</v>
      </c>
      <c r="E57" s="23"/>
      <c r="F57" s="39">
        <f>E57*1.15</f>
        <v>0</v>
      </c>
      <c r="G57" s="14" t="s">
        <v>240</v>
      </c>
      <c r="H57" s="23"/>
      <c r="I57" s="39">
        <f>20*H57</f>
        <v>0</v>
      </c>
    </row>
    <row r="58" spans="1:9" ht="22.5" customHeight="1">
      <c r="A58" s="14" t="s">
        <v>44</v>
      </c>
      <c r="B58" s="22"/>
      <c r="C58" s="39">
        <f>B58*2.7</f>
        <v>0</v>
      </c>
      <c r="D58" s="14" t="s">
        <v>203</v>
      </c>
      <c r="E58" s="23"/>
      <c r="F58" s="39">
        <f>E58*5.3</f>
        <v>0</v>
      </c>
      <c r="G58" s="14" t="s">
        <v>307</v>
      </c>
      <c r="H58" s="23"/>
      <c r="I58" s="39">
        <f>1*H58</f>
        <v>0</v>
      </c>
    </row>
    <row r="59" spans="1:9" ht="22.5" customHeight="1">
      <c r="A59" s="14" t="s">
        <v>46</v>
      </c>
      <c r="B59" s="22"/>
      <c r="C59" s="39">
        <f>B59*1.8</f>
        <v>0</v>
      </c>
      <c r="D59" s="14" t="s">
        <v>204</v>
      </c>
      <c r="E59" s="23"/>
      <c r="F59" s="39">
        <f>E59*7.1</f>
        <v>0</v>
      </c>
      <c r="G59" s="15" t="s">
        <v>103</v>
      </c>
      <c r="H59" s="16"/>
      <c r="I59" s="39">
        <f>SUM(I5:I58)</f>
        <v>0</v>
      </c>
    </row>
    <row r="60" spans="1:6" ht="22.5" customHeight="1">
      <c r="A60" s="14" t="s">
        <v>308</v>
      </c>
      <c r="B60" s="22"/>
      <c r="C60" s="39">
        <f>B60*1.5</f>
        <v>0</v>
      </c>
      <c r="D60" s="14" t="s">
        <v>205</v>
      </c>
      <c r="E60" s="23"/>
      <c r="F60" s="39">
        <f>E60*8.6</f>
        <v>0</v>
      </c>
    </row>
    <row r="61" spans="1:6" ht="22.5" customHeight="1">
      <c r="A61" s="14" t="s">
        <v>48</v>
      </c>
      <c r="B61" s="22"/>
      <c r="C61" s="39">
        <f>B61*1.2</f>
        <v>0</v>
      </c>
      <c r="D61" s="14" t="s">
        <v>206</v>
      </c>
      <c r="E61" s="23"/>
      <c r="F61" s="39">
        <f>E61*11.8</f>
        <v>0</v>
      </c>
    </row>
    <row r="62" spans="1:6" ht="22.5" customHeight="1">
      <c r="A62" s="14" t="s">
        <v>309</v>
      </c>
      <c r="B62" s="22"/>
      <c r="C62" s="39">
        <f>B62*0.9</f>
        <v>0</v>
      </c>
      <c r="D62" s="14" t="s">
        <v>207</v>
      </c>
      <c r="E62" s="23"/>
      <c r="F62" s="39">
        <f>E62*14.1</f>
        <v>0</v>
      </c>
    </row>
    <row r="63" spans="1:6" ht="22.5" customHeight="1">
      <c r="A63" s="14" t="s">
        <v>310</v>
      </c>
      <c r="B63" s="22"/>
      <c r="C63" s="39">
        <f>B63*0.6</f>
        <v>0</v>
      </c>
      <c r="D63" s="14" t="s">
        <v>208</v>
      </c>
      <c r="E63" s="23"/>
      <c r="F63" s="39">
        <f>E63*3.6</f>
        <v>0</v>
      </c>
    </row>
    <row r="64" spans="1:6" ht="22.5" customHeight="1">
      <c r="A64" s="14" t="s">
        <v>162</v>
      </c>
      <c r="B64" s="22"/>
      <c r="C64" s="39">
        <f>B64*5</f>
        <v>0</v>
      </c>
      <c r="D64" s="14" t="s">
        <v>65</v>
      </c>
      <c r="E64" s="23"/>
      <c r="F64" s="39">
        <f>E64*2.8</f>
        <v>0</v>
      </c>
    </row>
    <row r="65" spans="1:6" ht="22.5" customHeight="1">
      <c r="A65" s="14" t="s">
        <v>163</v>
      </c>
      <c r="B65" s="22"/>
      <c r="C65" s="39">
        <f>B65*4.2</f>
        <v>0</v>
      </c>
      <c r="D65" s="14" t="s">
        <v>67</v>
      </c>
      <c r="E65" s="23"/>
      <c r="F65" s="39">
        <f>E65*2.1</f>
        <v>0</v>
      </c>
    </row>
    <row r="66" spans="1:6" ht="22.5" customHeight="1">
      <c r="A66" s="14" t="s">
        <v>164</v>
      </c>
      <c r="B66" s="22"/>
      <c r="C66" s="39">
        <f>B66*3.4</f>
        <v>0</v>
      </c>
      <c r="D66" s="14" t="s">
        <v>69</v>
      </c>
      <c r="E66" s="23"/>
      <c r="F66" s="39">
        <f>E66*1.4</f>
        <v>0</v>
      </c>
    </row>
    <row r="67" spans="1:6" ht="22.5" customHeight="1">
      <c r="A67" s="14" t="s">
        <v>165</v>
      </c>
      <c r="B67" s="22"/>
      <c r="C67" s="39">
        <f>B67*2.5</f>
        <v>0</v>
      </c>
      <c r="D67" s="14" t="s">
        <v>71</v>
      </c>
      <c r="E67" s="23"/>
      <c r="F67" s="39">
        <f>E67*0.95</f>
        <v>0</v>
      </c>
    </row>
    <row r="68" spans="1:6" ht="22.5" customHeight="1">
      <c r="A68" s="14" t="s">
        <v>166</v>
      </c>
      <c r="B68" s="22"/>
      <c r="C68" s="39">
        <f>B68*7.4</f>
        <v>0</v>
      </c>
      <c r="D68" s="14" t="s">
        <v>311</v>
      </c>
      <c r="E68" s="23"/>
      <c r="F68" s="39">
        <f>E68*1.2</f>
        <v>0</v>
      </c>
    </row>
    <row r="69" spans="1:6" ht="22.5" customHeight="1">
      <c r="A69" s="14" t="s">
        <v>168</v>
      </c>
      <c r="B69" s="22"/>
      <c r="C69" s="39">
        <f>B69*6.7</f>
        <v>0</v>
      </c>
      <c r="D69" s="14" t="s">
        <v>312</v>
      </c>
      <c r="E69" s="23"/>
      <c r="F69" s="39">
        <f>E69*1.9</f>
        <v>0</v>
      </c>
    </row>
    <row r="70" spans="1:6" ht="22.5" customHeight="1">
      <c r="A70" s="14" t="s">
        <v>167</v>
      </c>
      <c r="B70" s="22"/>
      <c r="C70" s="39">
        <f>B70*6.1</f>
        <v>0</v>
      </c>
      <c r="D70" s="14" t="s">
        <v>313</v>
      </c>
      <c r="E70" s="23"/>
      <c r="F70" s="39">
        <f>E70*3.1</f>
        <v>0</v>
      </c>
    </row>
    <row r="71" spans="1:6" ht="22.5" customHeight="1">
      <c r="A71" s="14" t="s">
        <v>169</v>
      </c>
      <c r="B71" s="22"/>
      <c r="C71" s="39">
        <f>B71*5.4</f>
        <v>0</v>
      </c>
      <c r="D71" s="14" t="s">
        <v>314</v>
      </c>
      <c r="E71" s="23"/>
      <c r="F71" s="39">
        <f>E71*7</f>
        <v>0</v>
      </c>
    </row>
    <row r="72" spans="1:6" ht="22.5" customHeight="1">
      <c r="A72" s="14" t="s">
        <v>170</v>
      </c>
      <c r="B72" s="22"/>
      <c r="C72" s="39">
        <f>B72*1.3</f>
        <v>0</v>
      </c>
      <c r="D72" s="14" t="s">
        <v>315</v>
      </c>
      <c r="E72" s="23"/>
      <c r="F72" s="39">
        <f>E72*7.2</f>
        <v>0</v>
      </c>
    </row>
    <row r="73" spans="1:6" ht="22.5" customHeight="1">
      <c r="A73" s="14" t="s">
        <v>316</v>
      </c>
      <c r="B73" s="22"/>
      <c r="C73" s="39">
        <f>B73*12.3</f>
        <v>0</v>
      </c>
      <c r="D73" s="14" t="s">
        <v>317</v>
      </c>
      <c r="E73" s="23"/>
      <c r="F73" s="39">
        <f>E73*4</f>
        <v>0</v>
      </c>
    </row>
    <row r="74" spans="1:6" ht="22.5" customHeight="1">
      <c r="A74" s="14" t="s">
        <v>457</v>
      </c>
      <c r="B74" s="22"/>
      <c r="C74" s="39">
        <f>B74*12</f>
        <v>0</v>
      </c>
      <c r="D74" s="14" t="s">
        <v>318</v>
      </c>
      <c r="E74" s="23"/>
      <c r="F74" s="39">
        <f>E74*4.9</f>
        <v>0</v>
      </c>
    </row>
    <row r="75" spans="1:6" ht="22.5" customHeight="1">
      <c r="A75" s="14" t="s">
        <v>56</v>
      </c>
      <c r="B75" s="22"/>
      <c r="C75" s="39">
        <f>B75*15.8</f>
        <v>0</v>
      </c>
      <c r="D75" s="14" t="s">
        <v>319</v>
      </c>
      <c r="E75" s="23"/>
      <c r="F75" s="39">
        <f>E75*6.1</f>
        <v>0</v>
      </c>
    </row>
    <row r="76" spans="1:6" ht="22.5" customHeight="1">
      <c r="A76" s="14" t="s">
        <v>58</v>
      </c>
      <c r="B76" s="22"/>
      <c r="C76" s="39">
        <f>B76*15.7</f>
        <v>0</v>
      </c>
      <c r="D76" s="14" t="s">
        <v>320</v>
      </c>
      <c r="E76" s="23"/>
      <c r="F76" s="39">
        <f>E76*7.4</f>
        <v>0</v>
      </c>
    </row>
    <row r="77" spans="1:6" ht="22.5" customHeight="1">
      <c r="A77" s="14" t="s">
        <v>60</v>
      </c>
      <c r="B77" s="22"/>
      <c r="C77" s="39">
        <f>B77*13.2</f>
        <v>0</v>
      </c>
      <c r="D77" s="14" t="s">
        <v>321</v>
      </c>
      <c r="E77" s="23"/>
      <c r="F77" s="39">
        <f>E77*3.9</f>
        <v>0</v>
      </c>
    </row>
    <row r="78" spans="1:6" ht="22.5" customHeight="1">
      <c r="A78" s="14" t="s">
        <v>322</v>
      </c>
      <c r="B78" s="22"/>
      <c r="C78" s="39">
        <f>B78*11.9</f>
        <v>0</v>
      </c>
      <c r="D78" s="14" t="s">
        <v>323</v>
      </c>
      <c r="E78" s="23"/>
      <c r="F78" s="39">
        <f>E78*12.6</f>
        <v>0</v>
      </c>
    </row>
    <row r="79" spans="1:6" ht="22.5" customHeight="1">
      <c r="A79" s="14" t="s">
        <v>324</v>
      </c>
      <c r="B79" s="22"/>
      <c r="C79" s="39">
        <f>B79*8.1</f>
        <v>0</v>
      </c>
      <c r="D79" s="14" t="s">
        <v>478</v>
      </c>
      <c r="E79" s="23"/>
      <c r="F79" s="39">
        <f>E79*15.6</f>
        <v>0</v>
      </c>
    </row>
    <row r="80" spans="1:6" ht="22.5" customHeight="1">
      <c r="A80" s="14" t="s">
        <v>325</v>
      </c>
      <c r="B80" s="22"/>
      <c r="C80" s="39">
        <f>B80*7.8</f>
        <v>0</v>
      </c>
      <c r="D80" s="14" t="s">
        <v>326</v>
      </c>
      <c r="E80" s="23"/>
      <c r="F80" s="39">
        <f>E80*17.1</f>
        <v>0</v>
      </c>
    </row>
    <row r="81" spans="1:6" ht="22.5" customHeight="1">
      <c r="A81" s="14" t="s">
        <v>327</v>
      </c>
      <c r="B81" s="22"/>
      <c r="C81" s="39">
        <f>B81*5.8</f>
        <v>0</v>
      </c>
      <c r="D81" s="14" t="s">
        <v>328</v>
      </c>
      <c r="E81" s="23"/>
      <c r="F81" s="39">
        <f>E81*5</f>
        <v>0</v>
      </c>
    </row>
    <row r="82" spans="1:6" ht="22.5" customHeight="1">
      <c r="A82" s="14" t="s">
        <v>62</v>
      </c>
      <c r="B82" s="22"/>
      <c r="C82" s="39">
        <f>B82*9.1</f>
        <v>0</v>
      </c>
      <c r="D82" s="14" t="s">
        <v>329</v>
      </c>
      <c r="E82" s="23"/>
      <c r="F82" s="39">
        <f>E82*6</f>
        <v>0</v>
      </c>
    </row>
    <row r="83" spans="1:6" ht="22.5" customHeight="1">
      <c r="A83" s="14" t="s">
        <v>330</v>
      </c>
      <c r="B83" s="22"/>
      <c r="C83" s="39">
        <f>B83*7.5</f>
        <v>0</v>
      </c>
      <c r="D83" s="14" t="s">
        <v>331</v>
      </c>
      <c r="E83" s="23"/>
      <c r="F83" s="39">
        <f>E83*7.5</f>
        <v>0</v>
      </c>
    </row>
    <row r="84" spans="1:6" ht="22.5" customHeight="1">
      <c r="A84" s="14" t="s">
        <v>332</v>
      </c>
      <c r="B84" s="22"/>
      <c r="C84" s="39">
        <f>B84*6.5</f>
        <v>0</v>
      </c>
      <c r="D84" s="14" t="s">
        <v>333</v>
      </c>
      <c r="E84" s="23"/>
      <c r="F84" s="39">
        <f>E84*9</f>
        <v>0</v>
      </c>
    </row>
    <row r="85" spans="1:6" ht="22.5" customHeight="1">
      <c r="A85" s="14" t="s">
        <v>334</v>
      </c>
      <c r="B85" s="22"/>
      <c r="C85" s="39">
        <f>B85*5.5</f>
        <v>0</v>
      </c>
      <c r="D85" s="14" t="s">
        <v>93</v>
      </c>
      <c r="E85" s="23"/>
      <c r="F85" s="39">
        <f>E85*12</f>
        <v>0</v>
      </c>
    </row>
    <row r="86" spans="1:6" ht="22.5" customHeight="1">
      <c r="A86" s="14" t="s">
        <v>335</v>
      </c>
      <c r="B86" s="22"/>
      <c r="C86" s="39">
        <f>B86*4.5</f>
        <v>0</v>
      </c>
      <c r="D86" s="14" t="s">
        <v>195</v>
      </c>
      <c r="E86" s="23"/>
      <c r="F86" s="39">
        <f>E86*17</f>
        <v>0</v>
      </c>
    </row>
    <row r="87" spans="1:6" ht="22.5" customHeight="1">
      <c r="A87" s="14" t="s">
        <v>64</v>
      </c>
      <c r="B87" s="22"/>
      <c r="C87" s="39">
        <f>B87*25</f>
        <v>0</v>
      </c>
      <c r="D87" s="14" t="s">
        <v>95</v>
      </c>
      <c r="E87" s="23"/>
      <c r="F87" s="39">
        <f>E87*14</f>
        <v>0</v>
      </c>
    </row>
    <row r="88" spans="1:6" ht="22.5" customHeight="1">
      <c r="A88" s="14" t="s">
        <v>66</v>
      </c>
      <c r="B88" s="22"/>
      <c r="C88" s="39">
        <f>B88*5</f>
        <v>0</v>
      </c>
      <c r="D88" s="14" t="s">
        <v>198</v>
      </c>
      <c r="E88" s="23"/>
      <c r="F88" s="39">
        <f>E88*0.3</f>
        <v>0</v>
      </c>
    </row>
    <row r="89" spans="1:6" ht="22.5" customHeight="1">
      <c r="A89" s="14" t="s">
        <v>68</v>
      </c>
      <c r="B89" s="22"/>
      <c r="C89" s="39">
        <f>B89*13.5</f>
        <v>0</v>
      </c>
      <c r="D89" s="14" t="s">
        <v>199</v>
      </c>
      <c r="E89" s="23"/>
      <c r="F89" s="39">
        <f>E89*3.5</f>
        <v>0</v>
      </c>
    </row>
    <row r="90" spans="1:6" ht="22.5" customHeight="1">
      <c r="A90" s="14" t="s">
        <v>70</v>
      </c>
      <c r="B90" s="22"/>
      <c r="C90" s="39">
        <f>B90*4</f>
        <v>0</v>
      </c>
      <c r="D90" s="14" t="s">
        <v>200</v>
      </c>
      <c r="E90" s="23"/>
      <c r="F90" s="39">
        <f>E90*4</f>
        <v>0</v>
      </c>
    </row>
    <row r="91" spans="1:6" ht="22.5" customHeight="1">
      <c r="A91" s="14" t="s">
        <v>336</v>
      </c>
      <c r="B91" s="22"/>
      <c r="C91" s="39">
        <f>B91*1.3</f>
        <v>0</v>
      </c>
      <c r="D91" s="14" t="s">
        <v>201</v>
      </c>
      <c r="E91" s="23"/>
      <c r="F91" s="39">
        <f>E91*3.5</f>
        <v>0</v>
      </c>
    </row>
    <row r="92" spans="1:6" ht="22.5" customHeight="1">
      <c r="A92" s="14" t="s">
        <v>337</v>
      </c>
      <c r="B92" s="22"/>
      <c r="C92" s="39">
        <f>B92*9.9</f>
        <v>0</v>
      </c>
      <c r="D92" s="14" t="s">
        <v>196</v>
      </c>
      <c r="E92" s="23"/>
      <c r="F92" s="39">
        <f>E92*5</f>
        <v>0</v>
      </c>
    </row>
    <row r="93" spans="1:6" ht="22.5" customHeight="1">
      <c r="A93" s="14" t="s">
        <v>72</v>
      </c>
      <c r="B93" s="22"/>
      <c r="C93" s="39">
        <f>B93*3.25</f>
        <v>0</v>
      </c>
      <c r="D93" s="14" t="s">
        <v>338</v>
      </c>
      <c r="E93" s="23"/>
      <c r="F93" s="39">
        <f>E93*5.5</f>
        <v>0</v>
      </c>
    </row>
    <row r="94" spans="1:6" ht="22.5" customHeight="1">
      <c r="A94" s="14" t="s">
        <v>339</v>
      </c>
      <c r="B94" s="22"/>
      <c r="C94" s="39">
        <f>B94*3.4</f>
        <v>0</v>
      </c>
      <c r="D94" s="14" t="s">
        <v>97</v>
      </c>
      <c r="E94" s="23"/>
      <c r="F94" s="39">
        <f>E94*17</f>
        <v>0</v>
      </c>
    </row>
    <row r="95" spans="1:6" ht="22.5" customHeight="1">
      <c r="A95" s="14" t="s">
        <v>470</v>
      </c>
      <c r="B95" s="22"/>
      <c r="C95" s="39">
        <f>B95*1</f>
        <v>0</v>
      </c>
      <c r="D95" s="14" t="s">
        <v>99</v>
      </c>
      <c r="E95" s="23"/>
      <c r="F95" s="39">
        <f>E95*13</f>
        <v>0</v>
      </c>
    </row>
    <row r="96" spans="1:6" ht="22.5" customHeight="1">
      <c r="A96" s="14" t="s">
        <v>471</v>
      </c>
      <c r="B96" s="22"/>
      <c r="C96" s="39">
        <f>B96*1.1</f>
        <v>0</v>
      </c>
      <c r="D96" s="14" t="s">
        <v>101</v>
      </c>
      <c r="E96" s="23"/>
      <c r="F96" s="39">
        <f>E96*10</f>
        <v>0</v>
      </c>
    </row>
    <row r="97" spans="1:6" ht="22.5" customHeight="1">
      <c r="A97" s="14" t="s">
        <v>472</v>
      </c>
      <c r="B97" s="22"/>
      <c r="C97" s="39">
        <f>B97*1.7</f>
        <v>0</v>
      </c>
      <c r="D97" s="14" t="s">
        <v>102</v>
      </c>
      <c r="E97" s="23"/>
      <c r="F97" s="39">
        <f>E97*8</f>
        <v>0</v>
      </c>
    </row>
    <row r="98" spans="1:6" ht="22.5" customHeight="1">
      <c r="A98" s="14" t="s">
        <v>473</v>
      </c>
      <c r="B98" s="22"/>
      <c r="C98" s="39">
        <f>B98*1.9</f>
        <v>0</v>
      </c>
      <c r="D98" s="14" t="s">
        <v>128</v>
      </c>
      <c r="E98" s="23"/>
      <c r="F98" s="39">
        <f>E98*13.3</f>
        <v>0</v>
      </c>
    </row>
    <row r="99" spans="1:6" ht="22.5" customHeight="1">
      <c r="A99" s="14" t="s">
        <v>474</v>
      </c>
      <c r="B99" s="22"/>
      <c r="C99" s="39">
        <f>B99*2.2</f>
        <v>0</v>
      </c>
      <c r="D99" s="14" t="s">
        <v>129</v>
      </c>
      <c r="E99" s="23"/>
      <c r="F99" s="39">
        <f>E99*11.4</f>
        <v>0</v>
      </c>
    </row>
    <row r="100" spans="1:6" ht="22.5" customHeight="1">
      <c r="A100" s="14" t="s">
        <v>475</v>
      </c>
      <c r="B100" s="22"/>
      <c r="C100" s="39">
        <f>B100*2.7</f>
        <v>0</v>
      </c>
      <c r="D100" s="14" t="s">
        <v>130</v>
      </c>
      <c r="E100" s="23"/>
      <c r="F100" s="39">
        <f>E100*9.5</f>
        <v>0</v>
      </c>
    </row>
    <row r="101" spans="1:6" ht="22.5" customHeight="1">
      <c r="A101" s="14" t="s">
        <v>476</v>
      </c>
      <c r="B101" s="22"/>
      <c r="C101" s="39">
        <f>B101*6.4</f>
        <v>0</v>
      </c>
      <c r="D101" s="14" t="s">
        <v>178</v>
      </c>
      <c r="E101" s="23"/>
      <c r="F101" s="39">
        <f>E101*4.4</f>
        <v>0</v>
      </c>
    </row>
    <row r="102" spans="1:6" ht="22.5" customHeight="1">
      <c r="A102" s="14" t="s">
        <v>477</v>
      </c>
      <c r="B102" s="22"/>
      <c r="C102" s="39">
        <f>B102*4.3</f>
        <v>0</v>
      </c>
      <c r="D102" s="14" t="s">
        <v>179</v>
      </c>
      <c r="E102" s="23"/>
      <c r="F102" s="39">
        <f>E102*3.9</f>
        <v>0</v>
      </c>
    </row>
    <row r="103" spans="1:6" ht="22.5" customHeight="1">
      <c r="A103" s="14" t="s">
        <v>340</v>
      </c>
      <c r="B103" s="22"/>
      <c r="C103" s="39">
        <f>B103*3.6</f>
        <v>0</v>
      </c>
      <c r="D103" s="14" t="s">
        <v>180</v>
      </c>
      <c r="E103" s="23"/>
      <c r="F103" s="39">
        <f>E103*3.3</f>
        <v>0</v>
      </c>
    </row>
    <row r="104" spans="1:6" ht="22.5" customHeight="1">
      <c r="A104" s="14" t="s">
        <v>177</v>
      </c>
      <c r="B104" s="22"/>
      <c r="C104" s="39">
        <f>B104*0.3</f>
        <v>0</v>
      </c>
      <c r="D104" s="14" t="s">
        <v>181</v>
      </c>
      <c r="E104" s="23"/>
      <c r="F104" s="39">
        <f>E104*2.8</f>
        <v>0</v>
      </c>
    </row>
    <row r="105" spans="1:6" ht="22.5" customHeight="1">
      <c r="A105" s="14" t="s">
        <v>160</v>
      </c>
      <c r="B105" s="22"/>
      <c r="C105" s="39">
        <f>B105*17</f>
        <v>0</v>
      </c>
      <c r="D105" s="14" t="s">
        <v>182</v>
      </c>
      <c r="E105" s="23"/>
      <c r="F105" s="39">
        <f>E105*2.7</f>
        <v>0</v>
      </c>
    </row>
    <row r="106" spans="1:6" ht="22.5" customHeight="1">
      <c r="A106" s="14" t="s">
        <v>161</v>
      </c>
      <c r="B106" s="22"/>
      <c r="C106" s="39">
        <f>B106*19.2</f>
        <v>0</v>
      </c>
      <c r="D106" s="14" t="s">
        <v>183</v>
      </c>
      <c r="E106" s="23"/>
      <c r="F106" s="39">
        <f>E106*2.3</f>
        <v>0</v>
      </c>
    </row>
    <row r="107" spans="1:6" ht="22.5" customHeight="1">
      <c r="A107" s="14" t="s">
        <v>341</v>
      </c>
      <c r="B107" s="22"/>
      <c r="C107" s="39">
        <f>B107*2.5</f>
        <v>0</v>
      </c>
      <c r="D107" s="14" t="s">
        <v>184</v>
      </c>
      <c r="E107" s="23"/>
      <c r="F107" s="39">
        <f>E107*1.9</f>
        <v>0</v>
      </c>
    </row>
    <row r="108" spans="1:6" ht="22.5" customHeight="1">
      <c r="A108" s="14" t="s">
        <v>465</v>
      </c>
      <c r="B108" s="22"/>
      <c r="C108" s="39">
        <f>B108*21.5</f>
        <v>0</v>
      </c>
      <c r="D108" s="14" t="s">
        <v>185</v>
      </c>
      <c r="E108" s="23"/>
      <c r="F108" s="39">
        <f>E108*1.4</f>
        <v>0</v>
      </c>
    </row>
    <row r="109" spans="1:6" ht="22.5" customHeight="1">
      <c r="A109" s="14" t="s">
        <v>466</v>
      </c>
      <c r="B109" s="22"/>
      <c r="C109" s="39">
        <f>B109*17</f>
        <v>0</v>
      </c>
      <c r="D109" s="14" t="s">
        <v>186</v>
      </c>
      <c r="E109" s="23"/>
      <c r="F109" s="39">
        <f>E109*2</f>
        <v>0</v>
      </c>
    </row>
    <row r="110" spans="1:6" ht="22.5" customHeight="1">
      <c r="A110" s="14" t="s">
        <v>467</v>
      </c>
      <c r="B110" s="22"/>
      <c r="C110" s="39">
        <f>B110*13.5</f>
        <v>0</v>
      </c>
      <c r="D110" s="14" t="s">
        <v>187</v>
      </c>
      <c r="E110" s="23"/>
      <c r="F110" s="39">
        <f>E110*1.4</f>
        <v>0</v>
      </c>
    </row>
    <row r="111" spans="1:6" ht="22.5" customHeight="1">
      <c r="A111" s="14" t="s">
        <v>468</v>
      </c>
      <c r="B111" s="22"/>
      <c r="C111" s="39">
        <f>B111*9.7</f>
        <v>0</v>
      </c>
      <c r="D111" s="14" t="s">
        <v>188</v>
      </c>
      <c r="E111" s="23"/>
      <c r="F111" s="39">
        <f>E111*0.3</f>
        <v>0</v>
      </c>
    </row>
    <row r="112" spans="1:6" ht="22.5" customHeight="1">
      <c r="A112" s="14" t="s">
        <v>469</v>
      </c>
      <c r="B112" s="22"/>
      <c r="C112" s="39">
        <f>B112*7.4</f>
        <v>0</v>
      </c>
      <c r="D112" s="14" t="s">
        <v>197</v>
      </c>
      <c r="E112" s="23"/>
      <c r="F112" s="39">
        <f>E112*0.7</f>
        <v>0</v>
      </c>
    </row>
    <row r="113" spans="1:6" ht="22.5" customHeight="1">
      <c r="A113" s="14" t="s">
        <v>149</v>
      </c>
      <c r="B113" s="22"/>
      <c r="C113" s="39">
        <f>B113*6.3</f>
        <v>0</v>
      </c>
      <c r="D113" s="14" t="s">
        <v>342</v>
      </c>
      <c r="E113" s="23"/>
      <c r="F113" s="39">
        <f>E113*1</f>
        <v>0</v>
      </c>
    </row>
    <row r="114" spans="1:6" ht="22.5" customHeight="1">
      <c r="A114" s="14" t="s">
        <v>150</v>
      </c>
      <c r="B114" s="22"/>
      <c r="C114" s="39">
        <f>B114*7.4</f>
        <v>0</v>
      </c>
      <c r="D114" s="14" t="s">
        <v>343</v>
      </c>
      <c r="E114" s="23"/>
      <c r="F114" s="39">
        <f>E114*0.4</f>
        <v>0</v>
      </c>
    </row>
    <row r="115" spans="1:6" ht="22.5" customHeight="1">
      <c r="A115" s="14" t="s">
        <v>151</v>
      </c>
      <c r="B115" s="22"/>
      <c r="C115" s="39">
        <f>B115*10.1</f>
        <v>0</v>
      </c>
      <c r="D115" s="14" t="s">
        <v>202</v>
      </c>
      <c r="E115" s="23"/>
      <c r="F115" s="39">
        <f>E115*3</f>
        <v>0</v>
      </c>
    </row>
    <row r="116" spans="1:6" ht="22.5" customHeight="1">
      <c r="A116" s="14" t="s">
        <v>152</v>
      </c>
      <c r="B116" s="22"/>
      <c r="C116" s="39">
        <f>B116*11.4</f>
        <v>0</v>
      </c>
      <c r="D116" s="14" t="s">
        <v>212</v>
      </c>
      <c r="E116" s="23"/>
      <c r="F116" s="39">
        <f>E116*1.9</f>
        <v>0</v>
      </c>
    </row>
    <row r="117" spans="1:6" ht="22.5" customHeight="1">
      <c r="A117" s="14" t="s">
        <v>153</v>
      </c>
      <c r="B117" s="22"/>
      <c r="C117" s="39">
        <f>B117*15</f>
        <v>0</v>
      </c>
      <c r="D117" s="14" t="s">
        <v>213</v>
      </c>
      <c r="E117" s="23"/>
      <c r="F117" s="39">
        <f>E117*2.8</f>
        <v>0</v>
      </c>
    </row>
    <row r="118" spans="1:6" ht="22.5" customHeight="1">
      <c r="A118" s="14" t="s">
        <v>136</v>
      </c>
      <c r="B118" s="22"/>
      <c r="C118" s="39">
        <f>B118*6.5</f>
        <v>0</v>
      </c>
      <c r="D118" s="14" t="s">
        <v>214</v>
      </c>
      <c r="E118" s="23"/>
      <c r="F118" s="39">
        <f>E118*3.5</f>
        <v>0</v>
      </c>
    </row>
    <row r="119" spans="1:6" ht="22.5" customHeight="1">
      <c r="A119" s="14" t="s">
        <v>137</v>
      </c>
      <c r="B119" s="22"/>
      <c r="C119" s="39">
        <f>B119*3.5</f>
        <v>0</v>
      </c>
      <c r="D119" s="14" t="s">
        <v>215</v>
      </c>
      <c r="E119" s="23"/>
      <c r="F119" s="39">
        <f>E119*4.9</f>
        <v>0</v>
      </c>
    </row>
    <row r="120" spans="1:6" ht="22.5" customHeight="1">
      <c r="A120" s="14" t="s">
        <v>138</v>
      </c>
      <c r="B120" s="22"/>
      <c r="C120" s="39">
        <f>B120*23.3</f>
        <v>0</v>
      </c>
      <c r="D120" s="14" t="s">
        <v>211</v>
      </c>
      <c r="E120" s="23"/>
      <c r="F120" s="39">
        <f>E120*4.9</f>
        <v>0</v>
      </c>
    </row>
    <row r="121" spans="1:6" ht="22.5" customHeight="1">
      <c r="A121" s="14" t="s">
        <v>139</v>
      </c>
      <c r="B121" s="22"/>
      <c r="C121" s="39">
        <f>B121*40</f>
        <v>0</v>
      </c>
      <c r="D121" s="14" t="s">
        <v>209</v>
      </c>
      <c r="E121" s="23"/>
      <c r="F121" s="39">
        <f>E121*9.5</f>
        <v>0</v>
      </c>
    </row>
    <row r="122" spans="1:6" ht="22.5" customHeight="1">
      <c r="A122" s="14" t="s">
        <v>140</v>
      </c>
      <c r="B122" s="22"/>
      <c r="C122" s="39">
        <f>B122*60</f>
        <v>0</v>
      </c>
      <c r="D122" s="14" t="s">
        <v>210</v>
      </c>
      <c r="E122" s="23"/>
      <c r="F122" s="39">
        <f>E122*8.7</f>
        <v>0</v>
      </c>
    </row>
    <row r="123" spans="1:6" ht="22.5" customHeight="1">
      <c r="A123" s="14" t="s">
        <v>141</v>
      </c>
      <c r="B123" s="22"/>
      <c r="C123" s="39">
        <f>B123*4.6</f>
        <v>0</v>
      </c>
      <c r="D123" s="14" t="s">
        <v>344</v>
      </c>
      <c r="E123" s="23"/>
      <c r="F123" s="39">
        <f>E123*6.2</f>
        <v>0</v>
      </c>
    </row>
    <row r="124" spans="1:6" ht="22.5" customHeight="1">
      <c r="A124" s="14" t="s">
        <v>142</v>
      </c>
      <c r="B124" s="22"/>
      <c r="C124" s="39">
        <f>B124*5.4</f>
        <v>0</v>
      </c>
      <c r="D124" s="14" t="s">
        <v>345</v>
      </c>
      <c r="E124" s="23"/>
      <c r="F124" s="39">
        <f>E124*6.2</f>
        <v>0</v>
      </c>
    </row>
    <row r="125" spans="1:6" ht="22.5" customHeight="1">
      <c r="A125" s="14" t="s">
        <v>143</v>
      </c>
      <c r="B125" s="22"/>
      <c r="C125" s="39">
        <f>B125*6</f>
        <v>0</v>
      </c>
      <c r="D125" s="14" t="s">
        <v>346</v>
      </c>
      <c r="E125" s="23"/>
      <c r="F125" s="39">
        <f>E125*8</f>
        <v>0</v>
      </c>
    </row>
    <row r="126" spans="1:6" ht="22.5" customHeight="1">
      <c r="A126" s="14" t="s">
        <v>100</v>
      </c>
      <c r="B126" s="22"/>
      <c r="C126" s="39">
        <f>B126*802</f>
        <v>0</v>
      </c>
      <c r="D126" s="14" t="s">
        <v>347</v>
      </c>
      <c r="E126" s="23"/>
      <c r="F126" s="39">
        <f>E126*4</f>
        <v>0</v>
      </c>
    </row>
    <row r="127" spans="1:6" ht="22.5" customHeight="1">
      <c r="A127" s="14" t="s">
        <v>348</v>
      </c>
      <c r="B127" s="22"/>
      <c r="C127" s="39">
        <f>B127*289</f>
        <v>0</v>
      </c>
      <c r="D127" s="14" t="s">
        <v>349</v>
      </c>
      <c r="E127" s="23"/>
      <c r="F127" s="39">
        <f>E127*4.8</f>
        <v>0</v>
      </c>
    </row>
    <row r="128" spans="1:6" ht="22.5" customHeight="1">
      <c r="A128" s="14" t="s">
        <v>116</v>
      </c>
      <c r="B128" s="22"/>
      <c r="C128" s="39">
        <f>B128*513</f>
        <v>0</v>
      </c>
      <c r="D128" s="14" t="s">
        <v>350</v>
      </c>
      <c r="E128" s="23"/>
      <c r="F128" s="39">
        <f>E128*7.4</f>
        <v>0</v>
      </c>
    </row>
    <row r="129" spans="1:6" ht="22.5" customHeight="1">
      <c r="A129" s="14" t="s">
        <v>351</v>
      </c>
      <c r="B129" s="23"/>
      <c r="C129" s="39">
        <f>B129*40</f>
        <v>0</v>
      </c>
      <c r="D129" s="14" t="s">
        <v>145</v>
      </c>
      <c r="E129" s="23"/>
      <c r="F129" s="39">
        <f>E129*52</f>
        <v>0</v>
      </c>
    </row>
    <row r="130" spans="1:6" ht="22.5" customHeight="1">
      <c r="A130" s="14" t="s">
        <v>146</v>
      </c>
      <c r="B130" s="23"/>
      <c r="C130" s="39">
        <f>B130*5</f>
        <v>0</v>
      </c>
      <c r="D130" s="20"/>
      <c r="E130" s="23"/>
      <c r="F130" s="39"/>
    </row>
    <row r="131" spans="1:6" ht="22.5" customHeight="1">
      <c r="A131" s="14" t="s">
        <v>458</v>
      </c>
      <c r="B131" s="23"/>
      <c r="C131" s="39">
        <f>B131*7.3</f>
        <v>0</v>
      </c>
      <c r="D131" s="20"/>
      <c r="E131" s="23"/>
      <c r="F131" s="39"/>
    </row>
    <row r="132" spans="1:6" ht="22.5" customHeight="1">
      <c r="A132" s="15" t="s">
        <v>103</v>
      </c>
      <c r="B132" s="17"/>
      <c r="C132" s="39">
        <f>SUM(C6:C131)</f>
        <v>0</v>
      </c>
      <c r="D132" s="15" t="s">
        <v>103</v>
      </c>
      <c r="E132" s="16"/>
      <c r="F132" s="39">
        <f>SUM(F6:F131)</f>
        <v>0</v>
      </c>
    </row>
    <row r="133" ht="24" customHeight="1">
      <c r="C133" s="40"/>
    </row>
    <row r="134" ht="24" customHeight="1">
      <c r="C134" s="40"/>
    </row>
  </sheetData>
  <mergeCells count="3">
    <mergeCell ref="A1:D1"/>
    <mergeCell ref="F3:F4"/>
    <mergeCell ref="E3:E4"/>
  </mergeCells>
  <printOptions/>
  <pageMargins left="0.15748031496062992" right="0.15748031496062992" top="0.5118110236220472" bottom="0.35433070866141736" header="0.2362204724409449" footer="0.15748031496062992"/>
  <pageSetup horizontalDpi="600" verticalDpi="600" orientation="portrait" paperSize="8" scale="40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5" zoomScaleNormal="75" workbookViewId="0" topLeftCell="C25">
      <selection activeCell="E33" sqref="E33"/>
    </sheetView>
  </sheetViews>
  <sheetFormatPr defaultColWidth="8.796875" defaultRowHeight="24" customHeight="1"/>
  <cols>
    <col min="1" max="1" width="46.59765625" style="12" customWidth="1"/>
    <col min="2" max="2" width="14.5" style="12" customWidth="1"/>
    <col min="3" max="3" width="17.59765625" style="12" customWidth="1"/>
    <col min="4" max="4" width="46.59765625" style="12" customWidth="1"/>
    <col min="5" max="5" width="15.09765625" style="12" customWidth="1"/>
    <col min="6" max="6" width="17.59765625" style="12" customWidth="1"/>
    <col min="7" max="7" width="46.69921875" style="12" customWidth="1"/>
    <col min="8" max="8" width="15.19921875" style="12" customWidth="1"/>
    <col min="9" max="9" width="17.69921875" style="12" customWidth="1"/>
    <col min="10" max="16384" width="9" style="12" customWidth="1"/>
  </cols>
  <sheetData>
    <row r="1" spans="1:15" ht="30.75">
      <c r="A1" s="42"/>
      <c r="B1" s="42"/>
      <c r="C1" s="42"/>
      <c r="D1" s="42"/>
      <c r="O1" s="24"/>
    </row>
    <row r="2" spans="1:15" ht="31.5" thickBot="1">
      <c r="A2" s="25" t="s">
        <v>241</v>
      </c>
      <c r="B2" s="25">
        <f>SUM(F3/2.9)</f>
        <v>0</v>
      </c>
      <c r="C2" s="25" t="s">
        <v>242</v>
      </c>
      <c r="D2" s="25"/>
      <c r="E2" s="19"/>
      <c r="F2" s="27"/>
      <c r="O2" s="24"/>
    </row>
    <row r="3" spans="1:15" ht="30.75">
      <c r="A3" s="25" t="s">
        <v>243</v>
      </c>
      <c r="B3" s="25">
        <f>SUM(F3/7)</f>
        <v>0</v>
      </c>
      <c r="C3" s="25" t="s">
        <v>242</v>
      </c>
      <c r="D3" s="25"/>
      <c r="E3" s="45" t="s">
        <v>2</v>
      </c>
      <c r="F3" s="47">
        <f>C132+F132+I85</f>
        <v>0</v>
      </c>
      <c r="O3" s="24"/>
    </row>
    <row r="4" spans="1:15" ht="31.5" thickBot="1">
      <c r="A4" s="25" t="s">
        <v>244</v>
      </c>
      <c r="B4" s="25">
        <f>SUM(F3/9)</f>
        <v>0</v>
      </c>
      <c r="C4" s="25" t="s">
        <v>242</v>
      </c>
      <c r="D4" s="25"/>
      <c r="E4" s="46"/>
      <c r="F4" s="48"/>
      <c r="O4" s="24"/>
    </row>
    <row r="5" spans="1:9" ht="24" customHeight="1">
      <c r="A5" s="13" t="s">
        <v>3</v>
      </c>
      <c r="B5" s="13" t="s">
        <v>4</v>
      </c>
      <c r="C5" s="13" t="s">
        <v>5</v>
      </c>
      <c r="D5" s="13" t="s">
        <v>3</v>
      </c>
      <c r="E5" s="26" t="s">
        <v>4</v>
      </c>
      <c r="F5" s="26" t="s">
        <v>5</v>
      </c>
      <c r="G5" s="13" t="s">
        <v>3</v>
      </c>
      <c r="H5" s="13" t="s">
        <v>4</v>
      </c>
      <c r="I5" s="13" t="s">
        <v>5</v>
      </c>
    </row>
    <row r="6" spans="1:9" ht="15.75" customHeight="1">
      <c r="A6" s="28" t="s">
        <v>353</v>
      </c>
      <c r="B6" s="29"/>
      <c r="C6" s="28">
        <f>B6*15</f>
        <v>0</v>
      </c>
      <c r="D6" s="28" t="s">
        <v>7</v>
      </c>
      <c r="E6" s="30"/>
      <c r="F6" s="28">
        <f>E6*13.2</f>
        <v>0</v>
      </c>
      <c r="G6" s="28" t="s">
        <v>216</v>
      </c>
      <c r="H6" s="30"/>
      <c r="I6" s="28">
        <f>H6*1.05</f>
        <v>0</v>
      </c>
    </row>
    <row r="7" spans="1:9" ht="15.75" customHeight="1">
      <c r="A7" s="28" t="s">
        <v>354</v>
      </c>
      <c r="B7" s="29"/>
      <c r="C7" s="28">
        <f>B7*15.6</f>
        <v>0</v>
      </c>
      <c r="D7" s="28" t="s">
        <v>9</v>
      </c>
      <c r="E7" s="30"/>
      <c r="F7" s="28">
        <f>E7*9.3</f>
        <v>0</v>
      </c>
      <c r="G7" s="28" t="s">
        <v>217</v>
      </c>
      <c r="H7" s="30"/>
      <c r="I7" s="28">
        <f>2.1*H7</f>
        <v>0</v>
      </c>
    </row>
    <row r="8" spans="1:9" ht="15.75" customHeight="1">
      <c r="A8" s="28" t="s">
        <v>158</v>
      </c>
      <c r="B8" s="29"/>
      <c r="C8" s="28">
        <f>B8*16</f>
        <v>0</v>
      </c>
      <c r="D8" s="28" t="s">
        <v>11</v>
      </c>
      <c r="E8" s="30"/>
      <c r="F8" s="28">
        <f>E8*7</f>
        <v>0</v>
      </c>
      <c r="G8" s="28" t="s">
        <v>355</v>
      </c>
      <c r="H8" s="30"/>
      <c r="I8" s="28">
        <f>4.2*H8</f>
        <v>0</v>
      </c>
    </row>
    <row r="9" spans="1:16" ht="15.75" customHeight="1">
      <c r="A9" s="28" t="s">
        <v>159</v>
      </c>
      <c r="B9" s="29"/>
      <c r="C9" s="28">
        <f>B9*13.8</f>
        <v>0</v>
      </c>
      <c r="D9" s="28" t="s">
        <v>118</v>
      </c>
      <c r="E9" s="30"/>
      <c r="F9" s="28">
        <f>E9*3.5</f>
        <v>0</v>
      </c>
      <c r="G9" s="28" t="s">
        <v>356</v>
      </c>
      <c r="H9" s="30"/>
      <c r="I9" s="28">
        <f>6.3*H9</f>
        <v>0</v>
      </c>
      <c r="P9" s="24"/>
    </row>
    <row r="10" spans="1:9" ht="15.75" customHeight="1">
      <c r="A10" s="28" t="s">
        <v>357</v>
      </c>
      <c r="B10" s="29"/>
      <c r="C10" s="28">
        <f>B10*11</f>
        <v>0</v>
      </c>
      <c r="D10" s="28" t="s">
        <v>117</v>
      </c>
      <c r="E10" s="30"/>
      <c r="F10" s="28">
        <f>E10*7.2</f>
        <v>0</v>
      </c>
      <c r="G10" s="28" t="s">
        <v>358</v>
      </c>
      <c r="H10" s="30"/>
      <c r="I10" s="28">
        <f>9.5*H10</f>
        <v>0</v>
      </c>
    </row>
    <row r="11" spans="1:9" ht="15.75" customHeight="1">
      <c r="A11" s="28" t="s">
        <v>359</v>
      </c>
      <c r="B11" s="29"/>
      <c r="C11" s="28">
        <f>B11*9.5</f>
        <v>0</v>
      </c>
      <c r="D11" s="28" t="s">
        <v>119</v>
      </c>
      <c r="E11" s="30"/>
      <c r="F11" s="28">
        <f>E11*5.7</f>
        <v>0</v>
      </c>
      <c r="G11" s="28" t="s">
        <v>360</v>
      </c>
      <c r="H11" s="30"/>
      <c r="I11" s="28">
        <f>8.75*H11</f>
        <v>0</v>
      </c>
    </row>
    <row r="12" spans="1:9" ht="15.75" customHeight="1">
      <c r="A12" s="28" t="s">
        <v>361</v>
      </c>
      <c r="B12" s="31"/>
      <c r="C12" s="28">
        <f>B12*13.7</f>
        <v>0</v>
      </c>
      <c r="D12" s="28" t="s">
        <v>120</v>
      </c>
      <c r="E12" s="30"/>
      <c r="F12" s="28">
        <f>E12*3.8</f>
        <v>0</v>
      </c>
      <c r="G12" s="28" t="s">
        <v>362</v>
      </c>
      <c r="H12" s="30"/>
      <c r="I12" s="28">
        <f>12.6*H12</f>
        <v>0</v>
      </c>
    </row>
    <row r="13" spans="1:9" ht="15.75" customHeight="1">
      <c r="A13" s="28" t="s">
        <v>363</v>
      </c>
      <c r="B13" s="31"/>
      <c r="C13" s="28">
        <f>B13*12.8</f>
        <v>0</v>
      </c>
      <c r="D13" s="28" t="s">
        <v>13</v>
      </c>
      <c r="E13" s="30"/>
      <c r="F13" s="28">
        <f>E13*20</f>
        <v>0</v>
      </c>
      <c r="G13" s="28" t="s">
        <v>364</v>
      </c>
      <c r="H13" s="30"/>
      <c r="I13" s="28">
        <f>17.15*H13</f>
        <v>0</v>
      </c>
    </row>
    <row r="14" spans="1:9" ht="15.75" customHeight="1">
      <c r="A14" s="28" t="s">
        <v>365</v>
      </c>
      <c r="B14" s="31"/>
      <c r="C14" s="28">
        <f>B14*9.5</f>
        <v>0</v>
      </c>
      <c r="D14" s="28" t="s">
        <v>15</v>
      </c>
      <c r="E14" s="30"/>
      <c r="F14" s="28">
        <f>E14*15</f>
        <v>0</v>
      </c>
      <c r="G14" s="28" t="s">
        <v>366</v>
      </c>
      <c r="H14" s="30"/>
      <c r="I14" s="28">
        <f>22.4*H14</f>
        <v>0</v>
      </c>
    </row>
    <row r="15" spans="1:9" ht="15.75" customHeight="1">
      <c r="A15" s="28" t="s">
        <v>367</v>
      </c>
      <c r="B15" s="31"/>
      <c r="C15" s="28">
        <f>B15*9</f>
        <v>0</v>
      </c>
      <c r="D15" s="28" t="s">
        <v>17</v>
      </c>
      <c r="E15" s="30"/>
      <c r="F15" s="28">
        <f>E15*10</f>
        <v>0</v>
      </c>
      <c r="G15" s="28" t="s">
        <v>368</v>
      </c>
      <c r="H15" s="30"/>
      <c r="I15" s="28">
        <f>17.5*H15</f>
        <v>0</v>
      </c>
    </row>
    <row r="16" spans="1:16" ht="15.75" customHeight="1">
      <c r="A16" s="28" t="s">
        <v>369</v>
      </c>
      <c r="B16" s="31"/>
      <c r="C16" s="28">
        <f>B16*6.6</f>
        <v>0</v>
      </c>
      <c r="D16" s="28" t="s">
        <v>121</v>
      </c>
      <c r="E16" s="30"/>
      <c r="F16" s="28">
        <f>E16*20</f>
        <v>0</v>
      </c>
      <c r="G16" s="28" t="s">
        <v>218</v>
      </c>
      <c r="H16" s="30"/>
      <c r="I16" s="28">
        <f>1.8*H16</f>
        <v>0</v>
      </c>
      <c r="P16" s="24"/>
    </row>
    <row r="17" spans="1:9" ht="15.75" customHeight="1">
      <c r="A17" s="28" t="s">
        <v>370</v>
      </c>
      <c r="B17" s="31"/>
      <c r="C17" s="28">
        <f>B17*11.8</f>
        <v>0</v>
      </c>
      <c r="D17" s="28" t="s">
        <v>122</v>
      </c>
      <c r="E17" s="30"/>
      <c r="F17" s="28">
        <f>E17*15</f>
        <v>0</v>
      </c>
      <c r="G17" s="28" t="s">
        <v>219</v>
      </c>
      <c r="H17" s="30"/>
      <c r="I17" s="28">
        <f>3.6*H17</f>
        <v>0</v>
      </c>
    </row>
    <row r="18" spans="1:9" ht="15.75" customHeight="1">
      <c r="A18" s="28" t="s">
        <v>154</v>
      </c>
      <c r="B18" s="31"/>
      <c r="C18" s="28">
        <f>B18*9.6</f>
        <v>0</v>
      </c>
      <c r="D18" s="28" t="s">
        <v>123</v>
      </c>
      <c r="E18" s="30"/>
      <c r="F18" s="28">
        <f>E18*10</f>
        <v>0</v>
      </c>
      <c r="G18" s="28" t="s">
        <v>220</v>
      </c>
      <c r="H18" s="30"/>
      <c r="I18" s="28">
        <f>5.4*H18</f>
        <v>0</v>
      </c>
    </row>
    <row r="19" spans="1:9" ht="15.75" customHeight="1">
      <c r="A19" s="28" t="s">
        <v>155</v>
      </c>
      <c r="B19" s="31"/>
      <c r="C19" s="28">
        <f>B19*9.5</f>
        <v>0</v>
      </c>
      <c r="D19" s="28" t="s">
        <v>148</v>
      </c>
      <c r="E19" s="30"/>
      <c r="F19" s="28">
        <f>E19*0.3</f>
        <v>0</v>
      </c>
      <c r="G19" s="28" t="s">
        <v>221</v>
      </c>
      <c r="H19" s="30"/>
      <c r="I19" s="28">
        <f>7.2*H19</f>
        <v>0</v>
      </c>
    </row>
    <row r="20" spans="1:9" ht="15.75" customHeight="1">
      <c r="A20" s="28" t="s">
        <v>156</v>
      </c>
      <c r="B20" s="31"/>
      <c r="C20" s="28">
        <f>B20*7</f>
        <v>0</v>
      </c>
      <c r="D20" s="28" t="s">
        <v>25</v>
      </c>
      <c r="E20" s="30"/>
      <c r="F20" s="28">
        <f>E20*0.78</f>
        <v>0</v>
      </c>
      <c r="G20" s="28" t="s">
        <v>222</v>
      </c>
      <c r="H20" s="30"/>
      <c r="I20" s="28">
        <f>10.8*H20</f>
        <v>0</v>
      </c>
    </row>
    <row r="21" spans="1:9" ht="15.75" customHeight="1">
      <c r="A21" s="28" t="s">
        <v>157</v>
      </c>
      <c r="B21" s="31"/>
      <c r="C21" s="28">
        <f>B21*5</f>
        <v>0</v>
      </c>
      <c r="D21" s="28" t="s">
        <v>27</v>
      </c>
      <c r="E21" s="30"/>
      <c r="F21" s="28">
        <f>E21*0.78</f>
        <v>0</v>
      </c>
      <c r="G21" s="28" t="s">
        <v>223</v>
      </c>
      <c r="H21" s="30"/>
      <c r="I21" s="28">
        <f>1.5*H21</f>
        <v>0</v>
      </c>
    </row>
    <row r="22" spans="1:9" ht="15.75" customHeight="1">
      <c r="A22" s="28" t="s">
        <v>371</v>
      </c>
      <c r="B22" s="31"/>
      <c r="C22" s="28">
        <f>B22*0.6</f>
        <v>0</v>
      </c>
      <c r="D22" s="28" t="s">
        <v>29</v>
      </c>
      <c r="E22" s="30"/>
      <c r="F22" s="28">
        <f>E22*1.2</f>
        <v>0</v>
      </c>
      <c r="G22" s="28" t="s">
        <v>224</v>
      </c>
      <c r="H22" s="30"/>
      <c r="I22" s="28">
        <f>7.35*H22</f>
        <v>0</v>
      </c>
    </row>
    <row r="23" spans="1:9" ht="15.75" customHeight="1">
      <c r="A23" s="28" t="s">
        <v>12</v>
      </c>
      <c r="B23" s="31"/>
      <c r="C23" s="28">
        <f>B23*19.48</f>
        <v>0</v>
      </c>
      <c r="D23" s="28" t="s">
        <v>31</v>
      </c>
      <c r="E23" s="30"/>
      <c r="F23" s="28">
        <f>E23*1.2</f>
        <v>0</v>
      </c>
      <c r="G23" s="28" t="s">
        <v>225</v>
      </c>
      <c r="H23" s="30"/>
      <c r="I23" s="28">
        <f>10.5*H23</f>
        <v>0</v>
      </c>
    </row>
    <row r="24" spans="1:9" ht="15.75" customHeight="1">
      <c r="A24" s="28" t="s">
        <v>14</v>
      </c>
      <c r="B24" s="31"/>
      <c r="C24" s="28">
        <f>B24*12.1</f>
        <v>0</v>
      </c>
      <c r="D24" s="28" t="s">
        <v>131</v>
      </c>
      <c r="E24" s="30"/>
      <c r="F24" s="28">
        <f>E24*1.1</f>
        <v>0</v>
      </c>
      <c r="G24" s="28" t="s">
        <v>226</v>
      </c>
      <c r="H24" s="30"/>
      <c r="I24" s="28">
        <f>14.7*H24</f>
        <v>0</v>
      </c>
    </row>
    <row r="25" spans="1:9" ht="15.75" customHeight="1">
      <c r="A25" s="28" t="s">
        <v>372</v>
      </c>
      <c r="B25" s="31"/>
      <c r="C25" s="28">
        <f>B25*2.9</f>
        <v>0</v>
      </c>
      <c r="D25" s="28" t="s">
        <v>132</v>
      </c>
      <c r="E25" s="30"/>
      <c r="F25" s="28">
        <f>E25*1.18</f>
        <v>0</v>
      </c>
      <c r="G25" s="28" t="s">
        <v>227</v>
      </c>
      <c r="H25" s="30"/>
      <c r="I25" s="28">
        <f>1.6*H25</f>
        <v>0</v>
      </c>
    </row>
    <row r="26" spans="1:9" ht="15.75" customHeight="1">
      <c r="A26" s="28" t="s">
        <v>373</v>
      </c>
      <c r="B26" s="31"/>
      <c r="C26" s="28">
        <f>B26*3.3</f>
        <v>0</v>
      </c>
      <c r="D26" s="28" t="s">
        <v>133</v>
      </c>
      <c r="E26" s="30"/>
      <c r="F26" s="28">
        <f>E26*1.23</f>
        <v>0</v>
      </c>
      <c r="G26" s="28" t="s">
        <v>212</v>
      </c>
      <c r="H26" s="30"/>
      <c r="I26" s="28">
        <f>2*H26</f>
        <v>0</v>
      </c>
    </row>
    <row r="27" spans="1:9" ht="15.75" customHeight="1">
      <c r="A27" s="28" t="s">
        <v>374</v>
      </c>
      <c r="B27" s="31"/>
      <c r="C27" s="28">
        <f>B27*3.7</f>
        <v>0</v>
      </c>
      <c r="D27" s="28" t="s">
        <v>134</v>
      </c>
      <c r="E27" s="30"/>
      <c r="F27" s="28">
        <f>E27*1.26</f>
        <v>0</v>
      </c>
      <c r="G27" s="28" t="s">
        <v>213</v>
      </c>
      <c r="H27" s="30"/>
      <c r="I27" s="28">
        <f>2.6*H27</f>
        <v>0</v>
      </c>
    </row>
    <row r="28" spans="1:9" ht="15.75" customHeight="1">
      <c r="A28" s="28" t="s">
        <v>375</v>
      </c>
      <c r="B28" s="31"/>
      <c r="C28" s="28">
        <f>B28*4.2</f>
        <v>0</v>
      </c>
      <c r="D28" s="28" t="s">
        <v>135</v>
      </c>
      <c r="E28" s="30"/>
      <c r="F28" s="28">
        <f>E28*1.54</f>
        <v>0</v>
      </c>
      <c r="G28" s="28" t="s">
        <v>214</v>
      </c>
      <c r="H28" s="30"/>
      <c r="I28" s="28">
        <f>3.3*H28</f>
        <v>0</v>
      </c>
    </row>
    <row r="29" spans="1:9" ht="15.75" customHeight="1">
      <c r="A29" s="28" t="s">
        <v>376</v>
      </c>
      <c r="B29" s="31"/>
      <c r="C29" s="28">
        <f>B29*2.1</f>
        <v>0</v>
      </c>
      <c r="D29" s="28" t="s">
        <v>377</v>
      </c>
      <c r="E29" s="30"/>
      <c r="F29" s="28">
        <f>E29*1.6</f>
        <v>0</v>
      </c>
      <c r="G29" s="28" t="s">
        <v>228</v>
      </c>
      <c r="H29" s="30"/>
      <c r="I29" s="28">
        <f>4*H29</f>
        <v>0</v>
      </c>
    </row>
    <row r="30" spans="1:9" ht="15.75" customHeight="1">
      <c r="A30" s="28" t="s">
        <v>378</v>
      </c>
      <c r="B30" s="31"/>
      <c r="C30" s="28">
        <f>B30*2.4</f>
        <v>0</v>
      </c>
      <c r="D30" s="28" t="s">
        <v>379</v>
      </c>
      <c r="E30" s="30"/>
      <c r="F30" s="28">
        <f>E30*0.43</f>
        <v>0</v>
      </c>
      <c r="G30" s="28" t="s">
        <v>215</v>
      </c>
      <c r="H30" s="30"/>
      <c r="I30" s="28">
        <f>5*H30</f>
        <v>0</v>
      </c>
    </row>
    <row r="31" spans="1:9" ht="15.75" customHeight="1">
      <c r="A31" s="28" t="s">
        <v>380</v>
      </c>
      <c r="B31" s="31"/>
      <c r="C31" s="28">
        <f>B31*2.9</f>
        <v>0</v>
      </c>
      <c r="D31" s="28" t="s">
        <v>381</v>
      </c>
      <c r="E31" s="30"/>
      <c r="F31" s="28">
        <f>E31*0.76</f>
        <v>0</v>
      </c>
      <c r="G31" s="28" t="s">
        <v>234</v>
      </c>
      <c r="H31" s="30"/>
      <c r="I31" s="28">
        <f>H31*5.8</f>
        <v>0</v>
      </c>
    </row>
    <row r="32" spans="1:9" ht="15.75" customHeight="1">
      <c r="A32" s="28" t="s">
        <v>382</v>
      </c>
      <c r="B32" s="31"/>
      <c r="C32" s="28">
        <f>B32*3.4</f>
        <v>0</v>
      </c>
      <c r="D32" s="28" t="s">
        <v>35</v>
      </c>
      <c r="E32" s="30"/>
      <c r="F32" s="28">
        <f>E32*16.38</f>
        <v>0</v>
      </c>
      <c r="G32" s="28" t="s">
        <v>383</v>
      </c>
      <c r="H32" s="30"/>
      <c r="I32" s="28">
        <f>5.4*H32</f>
        <v>0</v>
      </c>
    </row>
    <row r="33" spans="1:9" ht="15.75" customHeight="1">
      <c r="A33" s="28" t="s">
        <v>384</v>
      </c>
      <c r="B33" s="31"/>
      <c r="C33" s="28">
        <f>B33*3.9</f>
        <v>0</v>
      </c>
      <c r="D33" s="28" t="s">
        <v>37</v>
      </c>
      <c r="E33" s="30"/>
      <c r="F33" s="28">
        <f>E33*15.015</f>
        <v>0</v>
      </c>
      <c r="G33" s="28" t="s">
        <v>385</v>
      </c>
      <c r="H33" s="30"/>
      <c r="I33" s="28">
        <f>4.4*H33</f>
        <v>0</v>
      </c>
    </row>
    <row r="34" spans="1:9" ht="15.75" customHeight="1">
      <c r="A34" s="28" t="s">
        <v>386</v>
      </c>
      <c r="B34" s="31"/>
      <c r="C34" s="28">
        <f>B34*1.7</f>
        <v>0</v>
      </c>
      <c r="D34" s="28" t="s">
        <v>39</v>
      </c>
      <c r="E34" s="30"/>
      <c r="F34" s="28">
        <f>E34*13.65</f>
        <v>0</v>
      </c>
      <c r="G34" s="28" t="s">
        <v>387</v>
      </c>
      <c r="H34" s="30"/>
      <c r="I34" s="28">
        <f>3.8*H34</f>
        <v>0</v>
      </c>
    </row>
    <row r="35" spans="1:9" ht="15.75" customHeight="1">
      <c r="A35" s="28" t="s">
        <v>388</v>
      </c>
      <c r="B35" s="31"/>
      <c r="C35" s="28">
        <f>B35*2.1</f>
        <v>0</v>
      </c>
      <c r="D35" s="28" t="s">
        <v>41</v>
      </c>
      <c r="E35" s="30"/>
      <c r="F35" s="28">
        <f>E35*12.285</f>
        <v>0</v>
      </c>
      <c r="G35" s="28" t="s">
        <v>389</v>
      </c>
      <c r="H35" s="30"/>
      <c r="I35" s="28">
        <f>2.8*H35</f>
        <v>0</v>
      </c>
    </row>
    <row r="36" spans="1:9" ht="15.75" customHeight="1">
      <c r="A36" s="28" t="s">
        <v>390</v>
      </c>
      <c r="B36" s="31"/>
      <c r="C36" s="28">
        <f>B36*2.6</f>
        <v>0</v>
      </c>
      <c r="D36" s="28" t="s">
        <v>43</v>
      </c>
      <c r="E36" s="30"/>
      <c r="F36" s="28">
        <f>E36*10.92</f>
        <v>0</v>
      </c>
      <c r="G36" s="28" t="s">
        <v>391</v>
      </c>
      <c r="H36" s="30"/>
      <c r="I36" s="28">
        <f>2*H36</f>
        <v>0</v>
      </c>
    </row>
    <row r="37" spans="1:9" ht="15.75" customHeight="1">
      <c r="A37" s="28" t="s">
        <v>392</v>
      </c>
      <c r="B37" s="31"/>
      <c r="C37" s="28">
        <f>B37*3.7</f>
        <v>0</v>
      </c>
      <c r="D37" s="28" t="s">
        <v>45</v>
      </c>
      <c r="E37" s="30"/>
      <c r="F37" s="28">
        <f>E37*9.555</f>
        <v>0</v>
      </c>
      <c r="G37" s="28" t="s">
        <v>231</v>
      </c>
      <c r="H37" s="30"/>
      <c r="I37" s="28">
        <f>4*H37</f>
        <v>0</v>
      </c>
    </row>
    <row r="38" spans="1:9" ht="15.75" customHeight="1">
      <c r="A38" s="28" t="s">
        <v>393</v>
      </c>
      <c r="B38" s="31"/>
      <c r="C38" s="28">
        <f>B38*3.7</f>
        <v>0</v>
      </c>
      <c r="D38" s="28" t="s">
        <v>47</v>
      </c>
      <c r="E38" s="30"/>
      <c r="F38" s="28">
        <f>E38*8.19</f>
        <v>0</v>
      </c>
      <c r="G38" s="28" t="s">
        <v>232</v>
      </c>
      <c r="H38" s="30"/>
      <c r="I38" s="28">
        <f>H38*13</f>
        <v>0</v>
      </c>
    </row>
    <row r="39" spans="1:9" ht="15.75" customHeight="1">
      <c r="A39" s="28" t="s">
        <v>394</v>
      </c>
      <c r="B39" s="31"/>
      <c r="C39" s="28">
        <f>B39*1.4</f>
        <v>0</v>
      </c>
      <c r="D39" s="28" t="s">
        <v>49</v>
      </c>
      <c r="E39" s="30"/>
      <c r="F39" s="28">
        <f>E39*6.825</f>
        <v>0</v>
      </c>
      <c r="G39" s="28" t="s">
        <v>233</v>
      </c>
      <c r="H39" s="30"/>
      <c r="I39" s="28">
        <f>17*H39</f>
        <v>0</v>
      </c>
    </row>
    <row r="40" spans="1:9" ht="15.75" customHeight="1">
      <c r="A40" s="28" t="s">
        <v>395</v>
      </c>
      <c r="B40" s="31"/>
      <c r="C40" s="28">
        <f>B40*2</f>
        <v>0</v>
      </c>
      <c r="D40" s="28" t="s">
        <v>51</v>
      </c>
      <c r="E40" s="30"/>
      <c r="F40" s="28">
        <f>E40*5.46</f>
        <v>0</v>
      </c>
      <c r="G40" s="28" t="s">
        <v>396</v>
      </c>
      <c r="H40" s="30"/>
      <c r="I40" s="28">
        <f>1.6*H40</f>
        <v>0</v>
      </c>
    </row>
    <row r="41" spans="1:9" ht="15.75" customHeight="1">
      <c r="A41" s="28" t="s">
        <v>397</v>
      </c>
      <c r="B41" s="31"/>
      <c r="C41" s="28">
        <f>B41*2.6</f>
        <v>0</v>
      </c>
      <c r="D41" s="28" t="s">
        <v>53</v>
      </c>
      <c r="E41" s="30"/>
      <c r="F41" s="28">
        <f>E41*4.095</f>
        <v>0</v>
      </c>
      <c r="G41" s="28" t="s">
        <v>398</v>
      </c>
      <c r="H41" s="30"/>
      <c r="I41" s="28">
        <f>H41*1.4</f>
        <v>0</v>
      </c>
    </row>
    <row r="42" spans="1:9" ht="15.75" customHeight="1">
      <c r="A42" s="28" t="s">
        <v>399</v>
      </c>
      <c r="B42" s="31"/>
      <c r="C42" s="28">
        <f>B42*3</f>
        <v>0</v>
      </c>
      <c r="D42" s="28" t="s">
        <v>55</v>
      </c>
      <c r="E42" s="30"/>
      <c r="F42" s="28">
        <f>E42*3.276</f>
        <v>0</v>
      </c>
      <c r="G42" s="28" t="s">
        <v>400</v>
      </c>
      <c r="H42" s="30"/>
      <c r="I42" s="28">
        <f>H42*0.4</f>
        <v>0</v>
      </c>
    </row>
    <row r="43" spans="1:15" ht="15.75" customHeight="1">
      <c r="A43" s="28" t="s">
        <v>401</v>
      </c>
      <c r="B43" s="31"/>
      <c r="C43" s="28">
        <f>B43*3.5</f>
        <v>0</v>
      </c>
      <c r="D43" s="28" t="s">
        <v>57</v>
      </c>
      <c r="E43" s="30"/>
      <c r="F43" s="28">
        <f>E43*2.73</f>
        <v>0</v>
      </c>
      <c r="G43" s="28" t="s">
        <v>229</v>
      </c>
      <c r="H43" s="30"/>
      <c r="I43" s="28">
        <f>4.9*H43</f>
        <v>0</v>
      </c>
      <c r="O43" s="18"/>
    </row>
    <row r="44" spans="1:9" ht="15.75" customHeight="1">
      <c r="A44" s="28" t="s">
        <v>18</v>
      </c>
      <c r="B44" s="31"/>
      <c r="C44" s="28">
        <f>B44*3.7</f>
        <v>0</v>
      </c>
      <c r="D44" s="28" t="s">
        <v>59</v>
      </c>
      <c r="E44" s="30"/>
      <c r="F44" s="28">
        <f>E44*0.6</f>
        <v>0</v>
      </c>
      <c r="G44" s="28" t="s">
        <v>230</v>
      </c>
      <c r="H44" s="30"/>
      <c r="I44" s="28">
        <f>8.9*H44</f>
        <v>0</v>
      </c>
    </row>
    <row r="45" spans="1:9" ht="15.75" customHeight="1">
      <c r="A45" s="28" t="s">
        <v>20</v>
      </c>
      <c r="B45" s="31"/>
      <c r="C45" s="28">
        <f>B45*0.85</f>
        <v>0</v>
      </c>
      <c r="D45" s="28" t="s">
        <v>61</v>
      </c>
      <c r="E45" s="30"/>
      <c r="F45" s="28">
        <f>E45*0.65</f>
        <v>0</v>
      </c>
      <c r="G45" s="28" t="s">
        <v>402</v>
      </c>
      <c r="H45" s="30"/>
      <c r="I45" s="28">
        <f>H45*0.9</f>
        <v>0</v>
      </c>
    </row>
    <row r="46" spans="1:9" ht="15.75" customHeight="1">
      <c r="A46" s="28" t="s">
        <v>22</v>
      </c>
      <c r="B46" s="31"/>
      <c r="C46" s="28">
        <f>B46*3.8</f>
        <v>0</v>
      </c>
      <c r="D46" s="28" t="s">
        <v>63</v>
      </c>
      <c r="E46" s="30"/>
      <c r="F46" s="28">
        <f>E46*0.85</f>
        <v>0</v>
      </c>
      <c r="G46" s="28" t="s">
        <v>403</v>
      </c>
      <c r="H46" s="30"/>
      <c r="I46" s="28">
        <f>H46*1.8</f>
        <v>0</v>
      </c>
    </row>
    <row r="47" spans="1:9" ht="15.75" customHeight="1">
      <c r="A47" s="28" t="s">
        <v>24</v>
      </c>
      <c r="B47" s="31"/>
      <c r="C47" s="28">
        <f>B47*5.2</f>
        <v>0</v>
      </c>
      <c r="D47" s="28" t="s">
        <v>172</v>
      </c>
      <c r="E47" s="30"/>
      <c r="F47" s="28">
        <f>E47*1</f>
        <v>0</v>
      </c>
      <c r="G47" s="28" t="s">
        <v>404</v>
      </c>
      <c r="H47" s="30"/>
      <c r="I47" s="28">
        <f>5.4*H47</f>
        <v>0</v>
      </c>
    </row>
    <row r="48" spans="1:9" ht="15.75" customHeight="1">
      <c r="A48" s="28" t="s">
        <v>26</v>
      </c>
      <c r="B48" s="31"/>
      <c r="C48" s="28">
        <f>B48*3.6</f>
        <v>0</v>
      </c>
      <c r="D48" s="28" t="s">
        <v>173</v>
      </c>
      <c r="E48" s="30"/>
      <c r="F48" s="28">
        <f>E48*1.77</f>
        <v>0</v>
      </c>
      <c r="G48" s="28" t="s">
        <v>405</v>
      </c>
      <c r="H48" s="30"/>
      <c r="I48" s="28">
        <f>7.5*H48</f>
        <v>0</v>
      </c>
    </row>
    <row r="49" spans="1:9" ht="15.75" customHeight="1">
      <c r="A49" s="28" t="s">
        <v>171</v>
      </c>
      <c r="B49" s="31"/>
      <c r="C49" s="28">
        <f>B49*4.6</f>
        <v>0</v>
      </c>
      <c r="D49" s="28" t="s">
        <v>191</v>
      </c>
      <c r="E49" s="30"/>
      <c r="F49" s="28">
        <f>E49*9.5</f>
        <v>0</v>
      </c>
      <c r="G49" s="28" t="s">
        <v>406</v>
      </c>
      <c r="H49" s="30"/>
      <c r="I49" s="28">
        <f>10.8*H49</f>
        <v>0</v>
      </c>
    </row>
    <row r="50" spans="1:9" ht="15.75" customHeight="1">
      <c r="A50" s="28" t="s">
        <v>28</v>
      </c>
      <c r="B50" s="31"/>
      <c r="C50" s="28">
        <f>B50*6.6</f>
        <v>0</v>
      </c>
      <c r="D50" s="28" t="s">
        <v>192</v>
      </c>
      <c r="E50" s="30"/>
      <c r="F50" s="28">
        <f>E50*19</f>
        <v>0</v>
      </c>
      <c r="G50" s="28" t="s">
        <v>407</v>
      </c>
      <c r="H50" s="30"/>
      <c r="I50" s="28">
        <f>19.2*H50</f>
        <v>0</v>
      </c>
    </row>
    <row r="51" spans="1:9" ht="15.75" customHeight="1">
      <c r="A51" s="28" t="s">
        <v>30</v>
      </c>
      <c r="B51" s="31"/>
      <c r="C51" s="28">
        <f>B51*3.7</f>
        <v>0</v>
      </c>
      <c r="D51" s="28" t="s">
        <v>193</v>
      </c>
      <c r="E51" s="30"/>
      <c r="F51" s="28">
        <f>E51*28.5</f>
        <v>0</v>
      </c>
      <c r="G51" s="28" t="s">
        <v>408</v>
      </c>
      <c r="H51" s="30"/>
      <c r="I51" s="28">
        <f>15*H51</f>
        <v>0</v>
      </c>
    </row>
    <row r="52" spans="1:9" ht="15.75" customHeight="1">
      <c r="A52" s="28" t="s">
        <v>32</v>
      </c>
      <c r="B52" s="31"/>
      <c r="C52" s="28">
        <f>B52*0.74</f>
        <v>0</v>
      </c>
      <c r="D52" s="28" t="s">
        <v>194</v>
      </c>
      <c r="E52" s="30"/>
      <c r="F52" s="28">
        <f>E52*38</f>
        <v>0</v>
      </c>
      <c r="G52" s="28" t="s">
        <v>235</v>
      </c>
      <c r="H52" s="30"/>
      <c r="I52" s="28">
        <f>17*H52</f>
        <v>0</v>
      </c>
    </row>
    <row r="53" spans="1:9" ht="15.75" customHeight="1">
      <c r="A53" s="28" t="s">
        <v>34</v>
      </c>
      <c r="B53" s="31"/>
      <c r="C53" s="28">
        <f>B53*0.44</f>
        <v>0</v>
      </c>
      <c r="D53" s="28" t="s">
        <v>174</v>
      </c>
      <c r="E53" s="30"/>
      <c r="F53" s="28">
        <f>E53*5.1</f>
        <v>0</v>
      </c>
      <c r="G53" s="28" t="s">
        <v>236</v>
      </c>
      <c r="H53" s="30"/>
      <c r="I53" s="28">
        <f>12.5*H53</f>
        <v>0</v>
      </c>
    </row>
    <row r="54" spans="1:9" ht="15.75" customHeight="1">
      <c r="A54" s="28" t="s">
        <v>36</v>
      </c>
      <c r="B54" s="31"/>
      <c r="C54" s="28">
        <f>B54*0.4</f>
        <v>0</v>
      </c>
      <c r="D54" s="28" t="s">
        <v>175</v>
      </c>
      <c r="E54" s="30"/>
      <c r="F54" s="28">
        <f>E54*6.5</f>
        <v>0</v>
      </c>
      <c r="G54" s="28" t="s">
        <v>237</v>
      </c>
      <c r="H54" s="30"/>
      <c r="I54" s="28">
        <f>12*H54</f>
        <v>0</v>
      </c>
    </row>
    <row r="55" spans="1:9" ht="15.75" customHeight="1">
      <c r="A55" s="28" t="s">
        <v>38</v>
      </c>
      <c r="B55" s="31"/>
      <c r="C55" s="28">
        <f>B55*3.6</f>
        <v>0</v>
      </c>
      <c r="D55" s="28" t="s">
        <v>176</v>
      </c>
      <c r="E55" s="30"/>
      <c r="F55" s="28">
        <f>E55*2.5</f>
        <v>0</v>
      </c>
      <c r="G55" s="28" t="s">
        <v>238</v>
      </c>
      <c r="H55" s="30"/>
      <c r="I55" s="28">
        <f>10.5*H55</f>
        <v>0</v>
      </c>
    </row>
    <row r="56" spans="1:9" ht="15.75" customHeight="1">
      <c r="A56" s="28" t="s">
        <v>40</v>
      </c>
      <c r="B56" s="31"/>
      <c r="C56" s="28">
        <f>B56*10.6</f>
        <v>0</v>
      </c>
      <c r="D56" s="28" t="s">
        <v>189</v>
      </c>
      <c r="E56" s="30"/>
      <c r="F56" s="28">
        <f>E56*3</f>
        <v>0</v>
      </c>
      <c r="G56" s="28" t="s">
        <v>239</v>
      </c>
      <c r="H56" s="30"/>
      <c r="I56" s="28">
        <f>5*H56</f>
        <v>0</v>
      </c>
    </row>
    <row r="57" spans="1:9" ht="15.75" customHeight="1">
      <c r="A57" s="28" t="s">
        <v>42</v>
      </c>
      <c r="B57" s="31"/>
      <c r="C57" s="28">
        <f>B57*12.1</f>
        <v>0</v>
      </c>
      <c r="D57" s="28" t="s">
        <v>190</v>
      </c>
      <c r="E57" s="30"/>
      <c r="F57" s="28">
        <f>E57*1.15</f>
        <v>0</v>
      </c>
      <c r="G57" s="28" t="s">
        <v>240</v>
      </c>
      <c r="H57" s="30"/>
      <c r="I57" s="28">
        <f>20*H57</f>
        <v>0</v>
      </c>
    </row>
    <row r="58" spans="1:9" ht="15.75" customHeight="1">
      <c r="A58" s="28" t="s">
        <v>44</v>
      </c>
      <c r="B58" s="31"/>
      <c r="C58" s="28">
        <f>B58*2.7</f>
        <v>0</v>
      </c>
      <c r="D58" s="28" t="s">
        <v>203</v>
      </c>
      <c r="E58" s="30"/>
      <c r="F58" s="28">
        <f>E58*5.3</f>
        <v>0</v>
      </c>
      <c r="G58" s="28" t="s">
        <v>409</v>
      </c>
      <c r="H58" s="30"/>
      <c r="I58" s="28">
        <f>1*H58</f>
        <v>0</v>
      </c>
    </row>
    <row r="59" spans="1:9" ht="15.75" customHeight="1">
      <c r="A59" s="28" t="s">
        <v>46</v>
      </c>
      <c r="B59" s="31"/>
      <c r="C59" s="28">
        <f>B59*1.8</f>
        <v>0</v>
      </c>
      <c r="D59" s="28" t="s">
        <v>204</v>
      </c>
      <c r="E59" s="30"/>
      <c r="F59" s="28">
        <f>E59*7.1</f>
        <v>0</v>
      </c>
      <c r="G59" s="28" t="s">
        <v>352</v>
      </c>
      <c r="H59" s="32"/>
      <c r="I59" s="28">
        <f>H59*12</f>
        <v>0</v>
      </c>
    </row>
    <row r="60" spans="1:9" ht="15.75" customHeight="1">
      <c r="A60" s="28" t="s">
        <v>410</v>
      </c>
      <c r="B60" s="31"/>
      <c r="C60" s="28">
        <f>B60*1.5</f>
        <v>0</v>
      </c>
      <c r="D60" s="28" t="s">
        <v>205</v>
      </c>
      <c r="E60" s="30"/>
      <c r="F60" s="28">
        <f>E60*8.6</f>
        <v>0</v>
      </c>
      <c r="G60" s="33"/>
      <c r="H60" s="32"/>
      <c r="I60" s="28">
        <f aca="true" t="shared" si="0" ref="I60:I84">1*H60</f>
        <v>0</v>
      </c>
    </row>
    <row r="61" spans="1:9" ht="15.75" customHeight="1">
      <c r="A61" s="28" t="s">
        <v>48</v>
      </c>
      <c r="B61" s="31"/>
      <c r="C61" s="28">
        <f>B61*1.2</f>
        <v>0</v>
      </c>
      <c r="D61" s="28" t="s">
        <v>206</v>
      </c>
      <c r="E61" s="30"/>
      <c r="F61" s="28">
        <f>E61*11.8</f>
        <v>0</v>
      </c>
      <c r="G61" s="33"/>
      <c r="H61" s="32"/>
      <c r="I61" s="28">
        <f t="shared" si="0"/>
        <v>0</v>
      </c>
    </row>
    <row r="62" spans="1:9" ht="15.75" customHeight="1">
      <c r="A62" s="28" t="s">
        <v>411</v>
      </c>
      <c r="B62" s="31"/>
      <c r="C62" s="28">
        <f>B62*0.9</f>
        <v>0</v>
      </c>
      <c r="D62" s="28" t="s">
        <v>207</v>
      </c>
      <c r="E62" s="30"/>
      <c r="F62" s="28">
        <f>E62*14.1</f>
        <v>0</v>
      </c>
      <c r="G62" s="33"/>
      <c r="H62" s="32"/>
      <c r="I62" s="28">
        <f t="shared" si="0"/>
        <v>0</v>
      </c>
    </row>
    <row r="63" spans="1:9" ht="15.75" customHeight="1">
      <c r="A63" s="28" t="s">
        <v>412</v>
      </c>
      <c r="B63" s="31"/>
      <c r="C63" s="28">
        <f>B63*0.6</f>
        <v>0</v>
      </c>
      <c r="D63" s="28" t="s">
        <v>208</v>
      </c>
      <c r="E63" s="30"/>
      <c r="F63" s="28">
        <f>E63*3.6</f>
        <v>0</v>
      </c>
      <c r="G63" s="28"/>
      <c r="H63" s="32"/>
      <c r="I63" s="28">
        <f t="shared" si="0"/>
        <v>0</v>
      </c>
    </row>
    <row r="64" spans="1:9" ht="15.75" customHeight="1">
      <c r="A64" s="28" t="s">
        <v>162</v>
      </c>
      <c r="B64" s="31"/>
      <c r="C64" s="28">
        <f>B64*5</f>
        <v>0</v>
      </c>
      <c r="D64" s="28" t="s">
        <v>65</v>
      </c>
      <c r="E64" s="30"/>
      <c r="F64" s="28">
        <f>E64*2.8</f>
        <v>0</v>
      </c>
      <c r="G64" s="28"/>
      <c r="H64" s="32"/>
      <c r="I64" s="28">
        <f t="shared" si="0"/>
        <v>0</v>
      </c>
    </row>
    <row r="65" spans="1:9" ht="15.75" customHeight="1">
      <c r="A65" s="28" t="s">
        <v>163</v>
      </c>
      <c r="B65" s="31"/>
      <c r="C65" s="28">
        <f>B65*4.2</f>
        <v>0</v>
      </c>
      <c r="D65" s="28" t="s">
        <v>67</v>
      </c>
      <c r="E65" s="30"/>
      <c r="F65" s="28">
        <f>E65*2.1</f>
        <v>0</v>
      </c>
      <c r="G65" s="28"/>
      <c r="H65" s="32"/>
      <c r="I65" s="28">
        <f t="shared" si="0"/>
        <v>0</v>
      </c>
    </row>
    <row r="66" spans="1:9" ht="15.75" customHeight="1">
      <c r="A66" s="28" t="s">
        <v>164</v>
      </c>
      <c r="B66" s="31"/>
      <c r="C66" s="28">
        <f>B66*3.4</f>
        <v>0</v>
      </c>
      <c r="D66" s="28" t="s">
        <v>69</v>
      </c>
      <c r="E66" s="30"/>
      <c r="F66" s="28">
        <f>E66*1.4</f>
        <v>0</v>
      </c>
      <c r="G66" s="28"/>
      <c r="H66" s="32"/>
      <c r="I66" s="28">
        <f t="shared" si="0"/>
        <v>0</v>
      </c>
    </row>
    <row r="67" spans="1:9" ht="15.75" customHeight="1">
      <c r="A67" s="28" t="s">
        <v>165</v>
      </c>
      <c r="B67" s="31"/>
      <c r="C67" s="28">
        <f>B67*2.5</f>
        <v>0</v>
      </c>
      <c r="D67" s="28" t="s">
        <v>71</v>
      </c>
      <c r="E67" s="30"/>
      <c r="F67" s="28">
        <f>E67*0.95</f>
        <v>0</v>
      </c>
      <c r="G67" s="28"/>
      <c r="H67" s="32"/>
      <c r="I67" s="28">
        <f t="shared" si="0"/>
        <v>0</v>
      </c>
    </row>
    <row r="68" spans="1:9" ht="15.75" customHeight="1">
      <c r="A68" s="28" t="s">
        <v>166</v>
      </c>
      <c r="B68" s="31"/>
      <c r="C68" s="28">
        <f>B68*7.4</f>
        <v>0</v>
      </c>
      <c r="D68" s="28" t="s">
        <v>413</v>
      </c>
      <c r="E68" s="30"/>
      <c r="F68" s="28">
        <f>E68*1.2</f>
        <v>0</v>
      </c>
      <c r="G68" s="28"/>
      <c r="H68" s="32"/>
      <c r="I68" s="28">
        <f t="shared" si="0"/>
        <v>0</v>
      </c>
    </row>
    <row r="69" spans="1:9" ht="15.75" customHeight="1">
      <c r="A69" s="28" t="s">
        <v>168</v>
      </c>
      <c r="B69" s="31"/>
      <c r="C69" s="28">
        <f>B69*6.7</f>
        <v>0</v>
      </c>
      <c r="D69" s="28" t="s">
        <v>414</v>
      </c>
      <c r="E69" s="30"/>
      <c r="F69" s="28">
        <f>E69*1.9</f>
        <v>0</v>
      </c>
      <c r="G69" s="28"/>
      <c r="H69" s="32"/>
      <c r="I69" s="28">
        <f t="shared" si="0"/>
        <v>0</v>
      </c>
    </row>
    <row r="70" spans="1:9" ht="15.75" customHeight="1">
      <c r="A70" s="28" t="s">
        <v>167</v>
      </c>
      <c r="B70" s="31"/>
      <c r="C70" s="28">
        <f>B70*6.1</f>
        <v>0</v>
      </c>
      <c r="D70" s="28" t="s">
        <v>415</v>
      </c>
      <c r="E70" s="30"/>
      <c r="F70" s="28">
        <f>E70*3.1</f>
        <v>0</v>
      </c>
      <c r="G70" s="28"/>
      <c r="H70" s="32"/>
      <c r="I70" s="28">
        <f t="shared" si="0"/>
        <v>0</v>
      </c>
    </row>
    <row r="71" spans="1:9" ht="15.75" customHeight="1">
      <c r="A71" s="28" t="s">
        <v>169</v>
      </c>
      <c r="B71" s="31"/>
      <c r="C71" s="28">
        <f>B71*5.4</f>
        <v>0</v>
      </c>
      <c r="D71" s="28" t="s">
        <v>416</v>
      </c>
      <c r="E71" s="30"/>
      <c r="F71" s="28">
        <f>E71*7</f>
        <v>0</v>
      </c>
      <c r="G71" s="28"/>
      <c r="H71" s="32"/>
      <c r="I71" s="28">
        <f t="shared" si="0"/>
        <v>0</v>
      </c>
    </row>
    <row r="72" spans="1:9" ht="15.75" customHeight="1">
      <c r="A72" s="28" t="s">
        <v>170</v>
      </c>
      <c r="B72" s="31"/>
      <c r="C72" s="28">
        <f>B72*1.3</f>
        <v>0</v>
      </c>
      <c r="D72" s="28" t="s">
        <v>417</v>
      </c>
      <c r="E72" s="30"/>
      <c r="F72" s="28">
        <f>E72*7.2</f>
        <v>0</v>
      </c>
      <c r="G72" s="28"/>
      <c r="H72" s="32"/>
      <c r="I72" s="28">
        <f t="shared" si="0"/>
        <v>0</v>
      </c>
    </row>
    <row r="73" spans="1:9" ht="15.75" customHeight="1">
      <c r="A73" s="28" t="s">
        <v>418</v>
      </c>
      <c r="B73" s="31"/>
      <c r="C73" s="28">
        <f>B73*12.3</f>
        <v>0</v>
      </c>
      <c r="D73" s="28" t="s">
        <v>419</v>
      </c>
      <c r="E73" s="30"/>
      <c r="F73" s="28">
        <f>E73*4</f>
        <v>0</v>
      </c>
      <c r="G73" s="28"/>
      <c r="H73" s="32"/>
      <c r="I73" s="28">
        <f t="shared" si="0"/>
        <v>0</v>
      </c>
    </row>
    <row r="74" spans="1:9" ht="15.75" customHeight="1">
      <c r="A74" s="28" t="s">
        <v>54</v>
      </c>
      <c r="B74" s="31"/>
      <c r="C74" s="28">
        <f>B74*20</f>
        <v>0</v>
      </c>
      <c r="D74" s="28" t="s">
        <v>420</v>
      </c>
      <c r="E74" s="30"/>
      <c r="F74" s="28">
        <f>E74*4.9</f>
        <v>0</v>
      </c>
      <c r="G74" s="28"/>
      <c r="H74" s="32"/>
      <c r="I74" s="28">
        <f t="shared" si="0"/>
        <v>0</v>
      </c>
    </row>
    <row r="75" spans="1:9" ht="15.75" customHeight="1">
      <c r="A75" s="28" t="s">
        <v>56</v>
      </c>
      <c r="B75" s="31"/>
      <c r="C75" s="28">
        <f>B75*15.8</f>
        <v>0</v>
      </c>
      <c r="D75" s="28" t="s">
        <v>421</v>
      </c>
      <c r="E75" s="30"/>
      <c r="F75" s="28">
        <f>E75*6.1</f>
        <v>0</v>
      </c>
      <c r="G75" s="28"/>
      <c r="H75" s="32"/>
      <c r="I75" s="28">
        <f t="shared" si="0"/>
        <v>0</v>
      </c>
    </row>
    <row r="76" spans="1:9" ht="15.75" customHeight="1">
      <c r="A76" s="28" t="s">
        <v>58</v>
      </c>
      <c r="B76" s="31"/>
      <c r="C76" s="28">
        <f>B76*15.7</f>
        <v>0</v>
      </c>
      <c r="D76" s="28" t="s">
        <v>422</v>
      </c>
      <c r="E76" s="30"/>
      <c r="F76" s="28">
        <f>E76*7.4</f>
        <v>0</v>
      </c>
      <c r="G76" s="28"/>
      <c r="H76" s="32"/>
      <c r="I76" s="28">
        <f t="shared" si="0"/>
        <v>0</v>
      </c>
    </row>
    <row r="77" spans="1:9" ht="15.75" customHeight="1">
      <c r="A77" s="28" t="s">
        <v>60</v>
      </c>
      <c r="B77" s="31"/>
      <c r="C77" s="28">
        <f>B77*13.2</f>
        <v>0</v>
      </c>
      <c r="D77" s="28" t="s">
        <v>423</v>
      </c>
      <c r="E77" s="30"/>
      <c r="F77" s="28">
        <f>E77*3.9</f>
        <v>0</v>
      </c>
      <c r="G77" s="28"/>
      <c r="H77" s="32"/>
      <c r="I77" s="28">
        <f t="shared" si="0"/>
        <v>0</v>
      </c>
    </row>
    <row r="78" spans="1:9" ht="15.75" customHeight="1">
      <c r="A78" s="28" t="s">
        <v>424</v>
      </c>
      <c r="B78" s="31"/>
      <c r="C78" s="28">
        <f>B78*11.9</f>
        <v>0</v>
      </c>
      <c r="D78" s="28" t="s">
        <v>425</v>
      </c>
      <c r="E78" s="30"/>
      <c r="F78" s="28">
        <f>E78*12.6</f>
        <v>0</v>
      </c>
      <c r="G78" s="28"/>
      <c r="H78" s="32"/>
      <c r="I78" s="28">
        <f t="shared" si="0"/>
        <v>0</v>
      </c>
    </row>
    <row r="79" spans="1:9" ht="15.75" customHeight="1">
      <c r="A79" s="28" t="s">
        <v>426</v>
      </c>
      <c r="B79" s="31"/>
      <c r="C79" s="28">
        <f>B79*8.1</f>
        <v>0</v>
      </c>
      <c r="D79" s="28" t="s">
        <v>81</v>
      </c>
      <c r="E79" s="30"/>
      <c r="F79" s="28">
        <f>E79*15.6</f>
        <v>0</v>
      </c>
      <c r="G79" s="28"/>
      <c r="H79" s="32"/>
      <c r="I79" s="28">
        <f t="shared" si="0"/>
        <v>0</v>
      </c>
    </row>
    <row r="80" spans="1:9" ht="15.75" customHeight="1">
      <c r="A80" s="28" t="s">
        <v>427</v>
      </c>
      <c r="B80" s="31"/>
      <c r="C80" s="28">
        <f>B80*7.8</f>
        <v>0</v>
      </c>
      <c r="D80" s="28" t="s">
        <v>428</v>
      </c>
      <c r="E80" s="30"/>
      <c r="F80" s="28">
        <f>E80*17.1</f>
        <v>0</v>
      </c>
      <c r="G80" s="28"/>
      <c r="H80" s="32"/>
      <c r="I80" s="28">
        <f t="shared" si="0"/>
        <v>0</v>
      </c>
    </row>
    <row r="81" spans="1:9" ht="15.75" customHeight="1">
      <c r="A81" s="28" t="s">
        <v>429</v>
      </c>
      <c r="B81" s="31"/>
      <c r="C81" s="28">
        <f>B81*5.8</f>
        <v>0</v>
      </c>
      <c r="D81" s="28" t="s">
        <v>430</v>
      </c>
      <c r="E81" s="30"/>
      <c r="F81" s="28">
        <f>E81*5</f>
        <v>0</v>
      </c>
      <c r="G81" s="28"/>
      <c r="H81" s="32"/>
      <c r="I81" s="28">
        <f t="shared" si="0"/>
        <v>0</v>
      </c>
    </row>
    <row r="82" spans="1:9" ht="15.75" customHeight="1">
      <c r="A82" s="28" t="s">
        <v>62</v>
      </c>
      <c r="B82" s="31"/>
      <c r="C82" s="28">
        <f>B82*9.1</f>
        <v>0</v>
      </c>
      <c r="D82" s="28" t="s">
        <v>431</v>
      </c>
      <c r="E82" s="30"/>
      <c r="F82" s="28">
        <f>E82*6</f>
        <v>0</v>
      </c>
      <c r="G82" s="28"/>
      <c r="H82" s="32"/>
      <c r="I82" s="28">
        <f t="shared" si="0"/>
        <v>0</v>
      </c>
    </row>
    <row r="83" spans="1:9" ht="15.75" customHeight="1">
      <c r="A83" s="28" t="s">
        <v>432</v>
      </c>
      <c r="B83" s="31"/>
      <c r="C83" s="28">
        <f>B83*7.5</f>
        <v>0</v>
      </c>
      <c r="D83" s="28" t="s">
        <v>433</v>
      </c>
      <c r="E83" s="30"/>
      <c r="F83" s="28">
        <f>E83*7.5</f>
        <v>0</v>
      </c>
      <c r="G83" s="28"/>
      <c r="H83" s="32"/>
      <c r="I83" s="28">
        <f t="shared" si="0"/>
        <v>0</v>
      </c>
    </row>
    <row r="84" spans="1:9" ht="15.75" customHeight="1">
      <c r="A84" s="28" t="s">
        <v>434</v>
      </c>
      <c r="B84" s="31"/>
      <c r="C84" s="28">
        <f>B84*6.5</f>
        <v>0</v>
      </c>
      <c r="D84" s="28" t="s">
        <v>435</v>
      </c>
      <c r="E84" s="30"/>
      <c r="F84" s="28">
        <f>E84*9</f>
        <v>0</v>
      </c>
      <c r="G84" s="28"/>
      <c r="H84" s="32"/>
      <c r="I84" s="28">
        <f t="shared" si="0"/>
        <v>0</v>
      </c>
    </row>
    <row r="85" spans="1:9" ht="15.75" customHeight="1">
      <c r="A85" s="28" t="s">
        <v>436</v>
      </c>
      <c r="B85" s="31"/>
      <c r="C85" s="28">
        <f>B85*5.5</f>
        <v>0</v>
      </c>
      <c r="D85" s="28" t="s">
        <v>93</v>
      </c>
      <c r="E85" s="30"/>
      <c r="F85" s="28">
        <f>E85*12</f>
        <v>0</v>
      </c>
      <c r="G85" s="28"/>
      <c r="H85" s="32"/>
      <c r="I85" s="28">
        <f>SUM(I6:I84)</f>
        <v>0</v>
      </c>
    </row>
    <row r="86" spans="1:6" ht="15.75" customHeight="1">
      <c r="A86" s="28" t="s">
        <v>437</v>
      </c>
      <c r="B86" s="31"/>
      <c r="C86" s="28">
        <f>B86*4.5</f>
        <v>0</v>
      </c>
      <c r="D86" s="28" t="s">
        <v>195</v>
      </c>
      <c r="E86" s="30"/>
      <c r="F86" s="28">
        <f>E86*17</f>
        <v>0</v>
      </c>
    </row>
    <row r="87" spans="1:6" ht="15.75" customHeight="1">
      <c r="A87" s="28" t="s">
        <v>64</v>
      </c>
      <c r="B87" s="31"/>
      <c r="C87" s="28">
        <f>B87*25</f>
        <v>0</v>
      </c>
      <c r="D87" s="28" t="s">
        <v>95</v>
      </c>
      <c r="E87" s="30"/>
      <c r="F87" s="28">
        <f>E87*14</f>
        <v>0</v>
      </c>
    </row>
    <row r="88" spans="1:6" ht="15.75" customHeight="1">
      <c r="A88" s="28" t="s">
        <v>66</v>
      </c>
      <c r="B88" s="31"/>
      <c r="C88" s="28">
        <f>B88*5</f>
        <v>0</v>
      </c>
      <c r="D88" s="28" t="s">
        <v>198</v>
      </c>
      <c r="E88" s="30"/>
      <c r="F88" s="28">
        <f>E88*0.3</f>
        <v>0</v>
      </c>
    </row>
    <row r="89" spans="1:6" ht="15.75" customHeight="1">
      <c r="A89" s="28" t="s">
        <v>68</v>
      </c>
      <c r="B89" s="31"/>
      <c r="C89" s="28">
        <f>B89*13.5</f>
        <v>0</v>
      </c>
      <c r="D89" s="28" t="s">
        <v>199</v>
      </c>
      <c r="E89" s="30"/>
      <c r="F89" s="28">
        <f>E89*3.5</f>
        <v>0</v>
      </c>
    </row>
    <row r="90" spans="1:6" ht="15.75" customHeight="1">
      <c r="A90" s="28" t="s">
        <v>70</v>
      </c>
      <c r="B90" s="31"/>
      <c r="C90" s="28">
        <f>B90*4</f>
        <v>0</v>
      </c>
      <c r="D90" s="28" t="s">
        <v>200</v>
      </c>
      <c r="E90" s="30"/>
      <c r="F90" s="28">
        <f>E90*4</f>
        <v>0</v>
      </c>
    </row>
    <row r="91" spans="1:6" ht="15.75" customHeight="1">
      <c r="A91" s="28" t="s">
        <v>438</v>
      </c>
      <c r="B91" s="31"/>
      <c r="C91" s="28">
        <f>B91*1.3</f>
        <v>0</v>
      </c>
      <c r="D91" s="28" t="s">
        <v>201</v>
      </c>
      <c r="E91" s="30"/>
      <c r="F91" s="28">
        <f>E91*3.5</f>
        <v>0</v>
      </c>
    </row>
    <row r="92" spans="1:6" ht="15.75" customHeight="1">
      <c r="A92" s="28" t="s">
        <v>439</v>
      </c>
      <c r="B92" s="31"/>
      <c r="C92" s="28">
        <f>B92*9.9</f>
        <v>0</v>
      </c>
      <c r="D92" s="28" t="s">
        <v>196</v>
      </c>
      <c r="E92" s="30"/>
      <c r="F92" s="28">
        <f>E92*5</f>
        <v>0</v>
      </c>
    </row>
    <row r="93" spans="1:6" ht="15.75" customHeight="1">
      <c r="A93" s="28" t="s">
        <v>72</v>
      </c>
      <c r="B93" s="31"/>
      <c r="C93" s="28">
        <f>B93*3.25</f>
        <v>0</v>
      </c>
      <c r="D93" s="28" t="s">
        <v>440</v>
      </c>
      <c r="E93" s="30"/>
      <c r="F93" s="28">
        <f>E93*5.5</f>
        <v>0</v>
      </c>
    </row>
    <row r="94" spans="1:6" ht="15.75" customHeight="1">
      <c r="A94" s="28" t="s">
        <v>441</v>
      </c>
      <c r="B94" s="31"/>
      <c r="C94" s="28">
        <f>B94*3.4</f>
        <v>0</v>
      </c>
      <c r="D94" s="28" t="s">
        <v>97</v>
      </c>
      <c r="E94" s="30"/>
      <c r="F94" s="28">
        <f>E94*17</f>
        <v>0</v>
      </c>
    </row>
    <row r="95" spans="1:6" ht="15.75" customHeight="1">
      <c r="A95" s="28" t="s">
        <v>125</v>
      </c>
      <c r="B95" s="31"/>
      <c r="C95" s="28">
        <f>B95*1</f>
        <v>0</v>
      </c>
      <c r="D95" s="28" t="s">
        <v>99</v>
      </c>
      <c r="E95" s="30"/>
      <c r="F95" s="28">
        <f>E95*13</f>
        <v>0</v>
      </c>
    </row>
    <row r="96" spans="1:6" ht="15.75" customHeight="1">
      <c r="A96" s="28" t="s">
        <v>124</v>
      </c>
      <c r="B96" s="31"/>
      <c r="C96" s="28">
        <f>B96*1.1</f>
        <v>0</v>
      </c>
      <c r="D96" s="28" t="s">
        <v>101</v>
      </c>
      <c r="E96" s="30"/>
      <c r="F96" s="28">
        <f>E96*10</f>
        <v>0</v>
      </c>
    </row>
    <row r="97" spans="1:6" ht="15.75" customHeight="1">
      <c r="A97" s="28" t="s">
        <v>80</v>
      </c>
      <c r="B97" s="31"/>
      <c r="C97" s="28">
        <f>B97*1.7</f>
        <v>0</v>
      </c>
      <c r="D97" s="28" t="s">
        <v>102</v>
      </c>
      <c r="E97" s="30"/>
      <c r="F97" s="28">
        <f>E97*8</f>
        <v>0</v>
      </c>
    </row>
    <row r="98" spans="1:6" ht="15.75" customHeight="1">
      <c r="A98" s="28" t="s">
        <v>126</v>
      </c>
      <c r="B98" s="31"/>
      <c r="C98" s="28">
        <f>B98*1.9</f>
        <v>0</v>
      </c>
      <c r="D98" s="28" t="s">
        <v>128</v>
      </c>
      <c r="E98" s="30"/>
      <c r="F98" s="28">
        <f>E98*13.3</f>
        <v>0</v>
      </c>
    </row>
    <row r="99" spans="1:6" ht="15.75" customHeight="1">
      <c r="A99" s="28" t="s">
        <v>127</v>
      </c>
      <c r="B99" s="31"/>
      <c r="C99" s="28">
        <f>B99*2.2</f>
        <v>0</v>
      </c>
      <c r="D99" s="28" t="s">
        <v>129</v>
      </c>
      <c r="E99" s="30"/>
      <c r="F99" s="28">
        <f>E99*11.4</f>
        <v>0</v>
      </c>
    </row>
    <row r="100" spans="1:6" ht="15.75" customHeight="1">
      <c r="A100" s="28" t="s">
        <v>442</v>
      </c>
      <c r="B100" s="31"/>
      <c r="C100" s="28">
        <f>B100*2.7</f>
        <v>0</v>
      </c>
      <c r="D100" s="28" t="s">
        <v>130</v>
      </c>
      <c r="E100" s="30"/>
      <c r="F100" s="28">
        <f>E100*9.5</f>
        <v>0</v>
      </c>
    </row>
    <row r="101" spans="1:6" ht="15.75" customHeight="1">
      <c r="A101" s="28" t="s">
        <v>84</v>
      </c>
      <c r="B101" s="31"/>
      <c r="C101" s="28">
        <f>B101*6.4</f>
        <v>0</v>
      </c>
      <c r="D101" s="28" t="s">
        <v>178</v>
      </c>
      <c r="E101" s="30"/>
      <c r="F101" s="28">
        <f>E101*4.4</f>
        <v>0</v>
      </c>
    </row>
    <row r="102" spans="1:6" ht="15.75" customHeight="1">
      <c r="A102" s="28" t="s">
        <v>86</v>
      </c>
      <c r="B102" s="31"/>
      <c r="C102" s="28">
        <f>B102*4.3</f>
        <v>0</v>
      </c>
      <c r="D102" s="28" t="s">
        <v>179</v>
      </c>
      <c r="E102" s="30"/>
      <c r="F102" s="28">
        <f>E102*3.9</f>
        <v>0</v>
      </c>
    </row>
    <row r="103" spans="1:6" ht="15.75" customHeight="1">
      <c r="A103" s="28" t="s">
        <v>443</v>
      </c>
      <c r="B103" s="31"/>
      <c r="C103" s="28">
        <f>B103*3.6</f>
        <v>0</v>
      </c>
      <c r="D103" s="28" t="s">
        <v>180</v>
      </c>
      <c r="E103" s="30"/>
      <c r="F103" s="28">
        <f>E103*3.3</f>
        <v>0</v>
      </c>
    </row>
    <row r="104" spans="1:6" ht="15.75" customHeight="1">
      <c r="A104" s="28" t="s">
        <v>177</v>
      </c>
      <c r="B104" s="31"/>
      <c r="C104" s="28">
        <f>B104*0.3</f>
        <v>0</v>
      </c>
      <c r="D104" s="28" t="s">
        <v>181</v>
      </c>
      <c r="E104" s="30"/>
      <c r="F104" s="28">
        <f>E104*2.8</f>
        <v>0</v>
      </c>
    </row>
    <row r="105" spans="1:6" ht="15.75" customHeight="1">
      <c r="A105" s="28" t="s">
        <v>160</v>
      </c>
      <c r="B105" s="31"/>
      <c r="C105" s="28">
        <f>B105*17</f>
        <v>0</v>
      </c>
      <c r="D105" s="28" t="s">
        <v>182</v>
      </c>
      <c r="E105" s="30"/>
      <c r="F105" s="28">
        <f>E105*2.7</f>
        <v>0</v>
      </c>
    </row>
    <row r="106" spans="1:6" ht="15.75" customHeight="1">
      <c r="A106" s="28" t="s">
        <v>161</v>
      </c>
      <c r="B106" s="31"/>
      <c r="C106" s="28">
        <f>B106*19.2</f>
        <v>0</v>
      </c>
      <c r="D106" s="28" t="s">
        <v>183</v>
      </c>
      <c r="E106" s="30"/>
      <c r="F106" s="28">
        <f>E106*2.3</f>
        <v>0</v>
      </c>
    </row>
    <row r="107" spans="1:6" ht="15.75" customHeight="1">
      <c r="A107" s="28" t="s">
        <v>444</v>
      </c>
      <c r="B107" s="31"/>
      <c r="C107" s="28">
        <f>B107*2.5</f>
        <v>0</v>
      </c>
      <c r="D107" s="28" t="s">
        <v>184</v>
      </c>
      <c r="E107" s="30"/>
      <c r="F107" s="28">
        <f>E107*1.9</f>
        <v>0</v>
      </c>
    </row>
    <row r="108" spans="1:6" ht="15.75" customHeight="1">
      <c r="A108" s="28" t="s">
        <v>90</v>
      </c>
      <c r="B108" s="31"/>
      <c r="C108" s="28">
        <f>B108*21.5</f>
        <v>0</v>
      </c>
      <c r="D108" s="28" t="s">
        <v>185</v>
      </c>
      <c r="E108" s="30"/>
      <c r="F108" s="28">
        <f>E108*1.4</f>
        <v>0</v>
      </c>
    </row>
    <row r="109" spans="1:6" ht="15.75" customHeight="1">
      <c r="A109" s="28" t="s">
        <v>92</v>
      </c>
      <c r="B109" s="31"/>
      <c r="C109" s="28">
        <f>B109*17</f>
        <v>0</v>
      </c>
      <c r="D109" s="28" t="s">
        <v>186</v>
      </c>
      <c r="E109" s="30"/>
      <c r="F109" s="28">
        <f>E109*2</f>
        <v>0</v>
      </c>
    </row>
    <row r="110" spans="1:6" ht="15.75" customHeight="1">
      <c r="A110" s="28" t="s">
        <v>94</v>
      </c>
      <c r="B110" s="31"/>
      <c r="C110" s="28">
        <f>B110*13.5</f>
        <v>0</v>
      </c>
      <c r="D110" s="28" t="s">
        <v>187</v>
      </c>
      <c r="E110" s="30"/>
      <c r="F110" s="28">
        <f>E110*1.4</f>
        <v>0</v>
      </c>
    </row>
    <row r="111" spans="1:6" ht="15.75" customHeight="1">
      <c r="A111" s="28" t="s">
        <v>96</v>
      </c>
      <c r="B111" s="31"/>
      <c r="C111" s="28">
        <f>B111*9.7</f>
        <v>0</v>
      </c>
      <c r="D111" s="28" t="s">
        <v>188</v>
      </c>
      <c r="E111" s="30"/>
      <c r="F111" s="28">
        <f>E111*0.3</f>
        <v>0</v>
      </c>
    </row>
    <row r="112" spans="1:6" ht="15.75" customHeight="1">
      <c r="A112" s="28" t="s">
        <v>98</v>
      </c>
      <c r="B112" s="31"/>
      <c r="C112" s="28">
        <f>B112*7.4</f>
        <v>0</v>
      </c>
      <c r="D112" s="28" t="s">
        <v>197</v>
      </c>
      <c r="E112" s="30"/>
      <c r="F112" s="28">
        <f>E112*0.7</f>
        <v>0</v>
      </c>
    </row>
    <row r="113" spans="1:6" ht="15.75" customHeight="1">
      <c r="A113" s="28" t="s">
        <v>149</v>
      </c>
      <c r="B113" s="31"/>
      <c r="C113" s="28">
        <f>B113*6.3</f>
        <v>0</v>
      </c>
      <c r="D113" s="28" t="s">
        <v>445</v>
      </c>
      <c r="E113" s="30"/>
      <c r="F113" s="28">
        <f>E113*1</f>
        <v>0</v>
      </c>
    </row>
    <row r="114" spans="1:6" ht="15.75" customHeight="1">
      <c r="A114" s="28" t="s">
        <v>150</v>
      </c>
      <c r="B114" s="31"/>
      <c r="C114" s="28">
        <f>B114*7.4</f>
        <v>0</v>
      </c>
      <c r="D114" s="28" t="s">
        <v>446</v>
      </c>
      <c r="E114" s="30"/>
      <c r="F114" s="28">
        <f>E114*0.4</f>
        <v>0</v>
      </c>
    </row>
    <row r="115" spans="1:6" ht="15.75" customHeight="1">
      <c r="A115" s="28" t="s">
        <v>151</v>
      </c>
      <c r="B115" s="31"/>
      <c r="C115" s="28">
        <f>B115*10.1</f>
        <v>0</v>
      </c>
      <c r="D115" s="28" t="s">
        <v>202</v>
      </c>
      <c r="E115" s="30"/>
      <c r="F115" s="28">
        <f>E115*3</f>
        <v>0</v>
      </c>
    </row>
    <row r="116" spans="1:6" ht="15.75" customHeight="1">
      <c r="A116" s="28" t="s">
        <v>152</v>
      </c>
      <c r="B116" s="31"/>
      <c r="C116" s="28">
        <f>B116*11.4</f>
        <v>0</v>
      </c>
      <c r="D116" s="28" t="s">
        <v>212</v>
      </c>
      <c r="E116" s="30"/>
      <c r="F116" s="28">
        <f>E116*1.9</f>
        <v>0</v>
      </c>
    </row>
    <row r="117" spans="1:6" ht="15.75" customHeight="1">
      <c r="A117" s="28" t="s">
        <v>153</v>
      </c>
      <c r="B117" s="31"/>
      <c r="C117" s="28">
        <f>B117*15</f>
        <v>0</v>
      </c>
      <c r="D117" s="28" t="s">
        <v>213</v>
      </c>
      <c r="E117" s="30"/>
      <c r="F117" s="28">
        <f>E117*2.8</f>
        <v>0</v>
      </c>
    </row>
    <row r="118" spans="1:6" ht="15.75" customHeight="1">
      <c r="A118" s="28" t="s">
        <v>136</v>
      </c>
      <c r="B118" s="31"/>
      <c r="C118" s="28">
        <f>B118*6.5</f>
        <v>0</v>
      </c>
      <c r="D118" s="28" t="s">
        <v>214</v>
      </c>
      <c r="E118" s="30"/>
      <c r="F118" s="28">
        <f>E118*3.5</f>
        <v>0</v>
      </c>
    </row>
    <row r="119" spans="1:6" ht="15.75" customHeight="1">
      <c r="A119" s="28" t="s">
        <v>137</v>
      </c>
      <c r="B119" s="31"/>
      <c r="C119" s="28">
        <f>B119*3.5</f>
        <v>0</v>
      </c>
      <c r="D119" s="28" t="s">
        <v>215</v>
      </c>
      <c r="E119" s="30"/>
      <c r="F119" s="28">
        <f>E119*4.9</f>
        <v>0</v>
      </c>
    </row>
    <row r="120" spans="1:6" ht="15.75" customHeight="1">
      <c r="A120" s="28" t="s">
        <v>138</v>
      </c>
      <c r="B120" s="31"/>
      <c r="C120" s="28">
        <f>B120*23.3</f>
        <v>0</v>
      </c>
      <c r="D120" s="28" t="s">
        <v>211</v>
      </c>
      <c r="E120" s="30"/>
      <c r="F120" s="28">
        <f>E120*4.9</f>
        <v>0</v>
      </c>
    </row>
    <row r="121" spans="1:6" ht="15.75" customHeight="1">
      <c r="A121" s="28" t="s">
        <v>139</v>
      </c>
      <c r="B121" s="31"/>
      <c r="C121" s="28">
        <f>B121*40</f>
        <v>0</v>
      </c>
      <c r="D121" s="28" t="s">
        <v>209</v>
      </c>
      <c r="E121" s="30"/>
      <c r="F121" s="28">
        <f>E121*9.5</f>
        <v>0</v>
      </c>
    </row>
    <row r="122" spans="1:6" ht="15.75" customHeight="1">
      <c r="A122" s="28" t="s">
        <v>140</v>
      </c>
      <c r="B122" s="31"/>
      <c r="C122" s="28">
        <f>B122*60</f>
        <v>0</v>
      </c>
      <c r="D122" s="28" t="s">
        <v>210</v>
      </c>
      <c r="E122" s="30"/>
      <c r="F122" s="28">
        <f>E122*8.7</f>
        <v>0</v>
      </c>
    </row>
    <row r="123" spans="1:6" ht="15.75" customHeight="1">
      <c r="A123" s="28" t="s">
        <v>141</v>
      </c>
      <c r="B123" s="31"/>
      <c r="C123" s="28">
        <f>B123*4.6</f>
        <v>0</v>
      </c>
      <c r="D123" s="28" t="s">
        <v>447</v>
      </c>
      <c r="E123" s="30"/>
      <c r="F123" s="28">
        <f>E123*6.2</f>
        <v>0</v>
      </c>
    </row>
    <row r="124" spans="1:6" ht="15.75" customHeight="1">
      <c r="A124" s="28" t="s">
        <v>142</v>
      </c>
      <c r="B124" s="31"/>
      <c r="C124" s="28">
        <f>B124*5.4</f>
        <v>0</v>
      </c>
      <c r="D124" s="28" t="s">
        <v>448</v>
      </c>
      <c r="E124" s="30"/>
      <c r="F124" s="28">
        <f>E124*6.2</f>
        <v>0</v>
      </c>
    </row>
    <row r="125" spans="1:6" ht="15.75" customHeight="1">
      <c r="A125" s="28" t="s">
        <v>143</v>
      </c>
      <c r="B125" s="31"/>
      <c r="C125" s="28">
        <f>B125*6</f>
        <v>0</v>
      </c>
      <c r="D125" s="28" t="s">
        <v>449</v>
      </c>
      <c r="E125" s="30"/>
      <c r="F125" s="28">
        <f>E125*8</f>
        <v>0</v>
      </c>
    </row>
    <row r="126" spans="1:6" ht="15.75" customHeight="1">
      <c r="A126" s="28" t="s">
        <v>100</v>
      </c>
      <c r="B126" s="31"/>
      <c r="C126" s="28">
        <f>B126*802</f>
        <v>0</v>
      </c>
      <c r="D126" s="28" t="s">
        <v>450</v>
      </c>
      <c r="E126" s="30"/>
      <c r="F126" s="28">
        <f>E126*4</f>
        <v>0</v>
      </c>
    </row>
    <row r="127" spans="1:6" ht="15.75" customHeight="1">
      <c r="A127" s="28" t="s">
        <v>451</v>
      </c>
      <c r="B127" s="31"/>
      <c r="C127" s="28">
        <f>B127*289</f>
        <v>0</v>
      </c>
      <c r="D127" s="28" t="s">
        <v>452</v>
      </c>
      <c r="E127" s="30"/>
      <c r="F127" s="28">
        <f>E127*4.8</f>
        <v>0</v>
      </c>
    </row>
    <row r="128" spans="1:6" ht="15.75" customHeight="1">
      <c r="A128" s="28" t="s">
        <v>116</v>
      </c>
      <c r="B128" s="31"/>
      <c r="C128" s="28">
        <f>B128*513</f>
        <v>0</v>
      </c>
      <c r="D128" s="28" t="s">
        <v>453</v>
      </c>
      <c r="E128" s="30"/>
      <c r="F128" s="28">
        <f>E128*7.4</f>
        <v>0</v>
      </c>
    </row>
    <row r="129" spans="1:6" ht="15.75" customHeight="1">
      <c r="A129" s="28" t="s">
        <v>454</v>
      </c>
      <c r="B129" s="30"/>
      <c r="C129" s="28">
        <f>B129*40</f>
        <v>0</v>
      </c>
      <c r="D129" s="28" t="s">
        <v>145</v>
      </c>
      <c r="E129" s="30"/>
      <c r="F129" s="28">
        <f>E129*52</f>
        <v>0</v>
      </c>
    </row>
    <row r="130" spans="1:6" ht="15.75" customHeight="1">
      <c r="A130" s="28" t="s">
        <v>146</v>
      </c>
      <c r="B130" s="30"/>
      <c r="C130" s="28">
        <f>B130*5</f>
        <v>0</v>
      </c>
      <c r="D130" s="28" t="s">
        <v>144</v>
      </c>
      <c r="E130" s="30"/>
      <c r="F130" s="28">
        <f>E130*25</f>
        <v>0</v>
      </c>
    </row>
    <row r="131" spans="1:6" ht="15.75" customHeight="1">
      <c r="A131" s="28" t="s">
        <v>147</v>
      </c>
      <c r="B131" s="30"/>
      <c r="C131" s="28">
        <f>B131*3</f>
        <v>0</v>
      </c>
      <c r="D131" s="34"/>
      <c r="E131" s="35"/>
      <c r="F131" s="28"/>
    </row>
    <row r="132" spans="1:6" ht="15.75" customHeight="1">
      <c r="A132" s="36" t="s">
        <v>103</v>
      </c>
      <c r="B132" s="37"/>
      <c r="C132" s="28">
        <f>SUM(C6:C131)</f>
        <v>0</v>
      </c>
      <c r="D132" s="36" t="s">
        <v>103</v>
      </c>
      <c r="E132" s="38"/>
      <c r="F132" s="28">
        <f>SUM(F6:F131)</f>
        <v>0</v>
      </c>
    </row>
  </sheetData>
  <mergeCells count="3">
    <mergeCell ref="A1:D1"/>
    <mergeCell ref="F3:F4"/>
    <mergeCell ref="E3:E4"/>
  </mergeCells>
  <printOptions/>
  <pageMargins left="0.16" right="0.16" top="0.5118110236220472" bottom="0.35433070866141736" header="0.2362204724409449" footer="0.15748031496062992"/>
  <pageSetup horizontalDpi="300" verticalDpi="300" orientation="portrait" paperSize="8" scale="55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="50" zoomScaleNormal="50" workbookViewId="0" topLeftCell="A26">
      <selection activeCell="D61" sqref="D61"/>
    </sheetView>
  </sheetViews>
  <sheetFormatPr defaultColWidth="8.796875" defaultRowHeight="14.25"/>
  <cols>
    <col min="1" max="1" width="60.59765625" style="0" customWidth="1"/>
    <col min="2" max="2" width="15.19921875" style="0" customWidth="1"/>
    <col min="3" max="3" width="20.59765625" style="0" customWidth="1"/>
    <col min="4" max="4" width="60.59765625" style="0" customWidth="1"/>
    <col min="5" max="5" width="15.09765625" style="0" customWidth="1"/>
    <col min="6" max="6" width="20.59765625" style="0" customWidth="1"/>
  </cols>
  <sheetData>
    <row r="1" spans="1:6" ht="66.75" customHeight="1">
      <c r="A1" s="4" t="s">
        <v>0</v>
      </c>
      <c r="B1" s="3" t="s">
        <v>1</v>
      </c>
      <c r="D1" s="11" t="s">
        <v>2</v>
      </c>
      <c r="E1" s="49">
        <f>C64+F64</f>
        <v>0</v>
      </c>
      <c r="F1" s="49"/>
    </row>
    <row r="3" spans="1:6" ht="24">
      <c r="A3" s="2" t="s">
        <v>3</v>
      </c>
      <c r="B3" s="2" t="s">
        <v>4</v>
      </c>
      <c r="C3" s="2" t="s">
        <v>5</v>
      </c>
      <c r="D3" s="2" t="s">
        <v>3</v>
      </c>
      <c r="E3" s="2" t="s">
        <v>4</v>
      </c>
      <c r="F3" s="2" t="s">
        <v>5</v>
      </c>
    </row>
    <row r="4" spans="1:6" ht="24" customHeight="1">
      <c r="A4" s="1" t="s">
        <v>6</v>
      </c>
      <c r="B4" s="5"/>
      <c r="C4" s="1">
        <f>B4*16.08</f>
        <v>0</v>
      </c>
      <c r="D4" s="1" t="s">
        <v>7</v>
      </c>
      <c r="E4" s="7"/>
      <c r="F4" s="1">
        <f>E4*13.2</f>
        <v>0</v>
      </c>
    </row>
    <row r="5" spans="1:6" ht="24">
      <c r="A5" s="1" t="s">
        <v>8</v>
      </c>
      <c r="B5" s="6"/>
      <c r="C5" s="1">
        <f>B5*15.58</f>
        <v>0</v>
      </c>
      <c r="D5" s="1" t="s">
        <v>9</v>
      </c>
      <c r="E5" s="7"/>
      <c r="F5" s="1">
        <f>E5*9.3</f>
        <v>0</v>
      </c>
    </row>
    <row r="6" spans="1:6" ht="24">
      <c r="A6" s="1" t="s">
        <v>10</v>
      </c>
      <c r="B6" s="6"/>
      <c r="C6" s="1">
        <f>B6*11.8</f>
        <v>0</v>
      </c>
      <c r="D6" s="1" t="s">
        <v>11</v>
      </c>
      <c r="E6" s="7"/>
      <c r="F6" s="1">
        <f>E6*7</f>
        <v>0</v>
      </c>
    </row>
    <row r="7" spans="1:6" ht="24">
      <c r="A7" s="1" t="s">
        <v>12</v>
      </c>
      <c r="B7" s="6"/>
      <c r="C7" s="1">
        <f>B7*19.48</f>
        <v>0</v>
      </c>
      <c r="D7" s="1" t="s">
        <v>13</v>
      </c>
      <c r="E7" s="7"/>
      <c r="F7" s="1">
        <f>E7*20</f>
        <v>0</v>
      </c>
    </row>
    <row r="8" spans="1:6" ht="24">
      <c r="A8" s="1" t="s">
        <v>14</v>
      </c>
      <c r="B8" s="6"/>
      <c r="C8" s="1">
        <f>B8*12.1</f>
        <v>0</v>
      </c>
      <c r="D8" s="1" t="s">
        <v>15</v>
      </c>
      <c r="E8" s="7"/>
      <c r="F8" s="1">
        <f>E8*15</f>
        <v>0</v>
      </c>
    </row>
    <row r="9" spans="1:6" ht="24">
      <c r="A9" s="1" t="s">
        <v>16</v>
      </c>
      <c r="B9" s="6"/>
      <c r="C9" s="1">
        <f>B9*4.2</f>
        <v>0</v>
      </c>
      <c r="D9" s="1" t="s">
        <v>17</v>
      </c>
      <c r="E9" s="7"/>
      <c r="F9" s="1">
        <f>E9*10</f>
        <v>0</v>
      </c>
    </row>
    <row r="10" spans="1:6" ht="24">
      <c r="A10" s="1" t="s">
        <v>18</v>
      </c>
      <c r="B10" s="6"/>
      <c r="C10" s="1">
        <f>B10*3.7</f>
        <v>0</v>
      </c>
      <c r="D10" s="1" t="s">
        <v>19</v>
      </c>
      <c r="E10" s="7"/>
      <c r="F10" s="1">
        <f>E10*20</f>
        <v>0</v>
      </c>
    </row>
    <row r="11" spans="1:6" ht="24">
      <c r="A11" s="1" t="s">
        <v>20</v>
      </c>
      <c r="B11" s="6"/>
      <c r="C11" s="1">
        <f>B11*0.85</f>
        <v>0</v>
      </c>
      <c r="D11" s="1" t="s">
        <v>21</v>
      </c>
      <c r="E11" s="7"/>
      <c r="F11" s="1">
        <f>E11*15</f>
        <v>0</v>
      </c>
    </row>
    <row r="12" spans="1:6" ht="24">
      <c r="A12" s="1" t="s">
        <v>22</v>
      </c>
      <c r="B12" s="6"/>
      <c r="C12" s="1">
        <f>B12*3.8</f>
        <v>0</v>
      </c>
      <c r="D12" s="1" t="s">
        <v>23</v>
      </c>
      <c r="E12" s="7"/>
      <c r="F12" s="1">
        <f>E12*10</f>
        <v>0</v>
      </c>
    </row>
    <row r="13" spans="1:6" ht="24">
      <c r="A13" s="1" t="s">
        <v>24</v>
      </c>
      <c r="B13" s="6"/>
      <c r="C13" s="1">
        <f>B13*5.2</f>
        <v>0</v>
      </c>
      <c r="D13" s="1" t="s">
        <v>25</v>
      </c>
      <c r="E13" s="7"/>
      <c r="F13" s="1">
        <f>E13*0.78</f>
        <v>0</v>
      </c>
    </row>
    <row r="14" spans="1:6" ht="24">
      <c r="A14" s="1" t="s">
        <v>26</v>
      </c>
      <c r="B14" s="6"/>
      <c r="C14" s="1">
        <f>B14*3.6</f>
        <v>0</v>
      </c>
      <c r="D14" s="1" t="s">
        <v>27</v>
      </c>
      <c r="E14" s="7"/>
      <c r="F14" s="1">
        <f>E14*0.78</f>
        <v>0</v>
      </c>
    </row>
    <row r="15" spans="1:6" ht="24">
      <c r="A15" s="1" t="s">
        <v>28</v>
      </c>
      <c r="B15" s="6"/>
      <c r="C15" s="1">
        <f>B15*6.6</f>
        <v>0</v>
      </c>
      <c r="D15" s="1" t="s">
        <v>29</v>
      </c>
      <c r="E15" s="7"/>
      <c r="F15" s="1">
        <f>E15*1.2</f>
        <v>0</v>
      </c>
    </row>
    <row r="16" spans="1:6" ht="24">
      <c r="A16" s="1" t="s">
        <v>30</v>
      </c>
      <c r="B16" s="6"/>
      <c r="C16" s="1">
        <f>B16*5</f>
        <v>0</v>
      </c>
      <c r="D16" s="1" t="s">
        <v>31</v>
      </c>
      <c r="E16" s="7"/>
      <c r="F16" s="1">
        <f>E16*1.2</f>
        <v>0</v>
      </c>
    </row>
    <row r="17" spans="1:6" ht="24">
      <c r="A17" s="1" t="s">
        <v>32</v>
      </c>
      <c r="B17" s="6"/>
      <c r="C17" s="1">
        <f>B17*0.74</f>
        <v>0</v>
      </c>
      <c r="D17" s="1" t="s">
        <v>33</v>
      </c>
      <c r="E17" s="7"/>
      <c r="F17" s="1">
        <f>E17*1.56</f>
        <v>0</v>
      </c>
    </row>
    <row r="18" spans="1:6" ht="24">
      <c r="A18" s="1" t="s">
        <v>34</v>
      </c>
      <c r="B18" s="6"/>
      <c r="C18" s="1">
        <f>B18*0.44</f>
        <v>0</v>
      </c>
      <c r="D18" s="1" t="s">
        <v>35</v>
      </c>
      <c r="E18" s="7"/>
      <c r="F18" s="1">
        <f>E18*16.38</f>
        <v>0</v>
      </c>
    </row>
    <row r="19" spans="1:6" ht="24">
      <c r="A19" s="1" t="s">
        <v>36</v>
      </c>
      <c r="B19" s="6"/>
      <c r="C19" s="1">
        <f>B19*0.4</f>
        <v>0</v>
      </c>
      <c r="D19" s="1" t="s">
        <v>37</v>
      </c>
      <c r="E19" s="7"/>
      <c r="F19" s="1">
        <f>E19*15.015</f>
        <v>0</v>
      </c>
    </row>
    <row r="20" spans="1:6" ht="24">
      <c r="A20" s="1" t="s">
        <v>38</v>
      </c>
      <c r="B20" s="6"/>
      <c r="C20" s="1">
        <f>B20*1.8</f>
        <v>0</v>
      </c>
      <c r="D20" s="1" t="s">
        <v>39</v>
      </c>
      <c r="E20" s="7"/>
      <c r="F20" s="1">
        <f>E20*13.65</f>
        <v>0</v>
      </c>
    </row>
    <row r="21" spans="1:6" ht="24">
      <c r="A21" s="1" t="s">
        <v>40</v>
      </c>
      <c r="B21" s="6"/>
      <c r="C21" s="1">
        <f>B21*10.6</f>
        <v>0</v>
      </c>
      <c r="D21" s="1" t="s">
        <v>41</v>
      </c>
      <c r="E21" s="7"/>
      <c r="F21" s="1">
        <f>E21*12.285</f>
        <v>0</v>
      </c>
    </row>
    <row r="22" spans="1:6" ht="24">
      <c r="A22" s="1" t="s">
        <v>42</v>
      </c>
      <c r="B22" s="6"/>
      <c r="C22" s="1">
        <f>B22*12.1</f>
        <v>0</v>
      </c>
      <c r="D22" s="1" t="s">
        <v>43</v>
      </c>
      <c r="E22" s="7"/>
      <c r="F22" s="1">
        <f>E22*10.92</f>
        <v>0</v>
      </c>
    </row>
    <row r="23" spans="1:6" ht="24">
      <c r="A23" s="1" t="s">
        <v>44</v>
      </c>
      <c r="B23" s="6"/>
      <c r="C23" s="1">
        <f>B23*2.7</f>
        <v>0</v>
      </c>
      <c r="D23" s="1" t="s">
        <v>45</v>
      </c>
      <c r="E23" s="7"/>
      <c r="F23" s="1">
        <f>E23*9.555</f>
        <v>0</v>
      </c>
    </row>
    <row r="24" spans="1:6" ht="24">
      <c r="A24" s="1" t="s">
        <v>46</v>
      </c>
      <c r="B24" s="6"/>
      <c r="C24" s="1">
        <f>B24*1.8</f>
        <v>0</v>
      </c>
      <c r="D24" s="1" t="s">
        <v>47</v>
      </c>
      <c r="E24" s="7"/>
      <c r="F24" s="1">
        <f>E24*8.19</f>
        <v>0</v>
      </c>
    </row>
    <row r="25" spans="1:6" ht="24">
      <c r="A25" s="1" t="s">
        <v>48</v>
      </c>
      <c r="B25" s="6"/>
      <c r="C25" s="1">
        <f>B25*1.2</f>
        <v>0</v>
      </c>
      <c r="D25" s="1" t="s">
        <v>49</v>
      </c>
      <c r="E25" s="7"/>
      <c r="F25" s="1">
        <f>E25*6.825</f>
        <v>0</v>
      </c>
    </row>
    <row r="26" spans="1:6" ht="24">
      <c r="A26" s="1" t="s">
        <v>50</v>
      </c>
      <c r="B26" s="6"/>
      <c r="C26" s="1">
        <f>B26*0.9</f>
        <v>0</v>
      </c>
      <c r="D26" s="1" t="s">
        <v>51</v>
      </c>
      <c r="E26" s="7"/>
      <c r="F26" s="1">
        <f>E26*5.46</f>
        <v>0</v>
      </c>
    </row>
    <row r="27" spans="1:6" ht="24">
      <c r="A27" s="1" t="s">
        <v>52</v>
      </c>
      <c r="B27" s="6"/>
      <c r="C27" s="1">
        <f>B27*12.3</f>
        <v>0</v>
      </c>
      <c r="D27" s="1" t="s">
        <v>53</v>
      </c>
      <c r="E27" s="7"/>
      <c r="F27" s="1">
        <f>E27*4.095</f>
        <v>0</v>
      </c>
    </row>
    <row r="28" spans="1:6" ht="24">
      <c r="A28" s="1" t="s">
        <v>54</v>
      </c>
      <c r="B28" s="6"/>
      <c r="C28" s="1">
        <f>B28*20</f>
        <v>0</v>
      </c>
      <c r="D28" s="1" t="s">
        <v>55</v>
      </c>
      <c r="E28" s="7"/>
      <c r="F28" s="1">
        <f>E28*3.276</f>
        <v>0</v>
      </c>
    </row>
    <row r="29" spans="1:6" ht="24">
      <c r="A29" s="1" t="s">
        <v>56</v>
      </c>
      <c r="B29" s="6"/>
      <c r="C29" s="1">
        <f>B29*15.8</f>
        <v>0</v>
      </c>
      <c r="D29" s="1" t="s">
        <v>57</v>
      </c>
      <c r="E29" s="7"/>
      <c r="F29" s="1">
        <f>E29*2.73</f>
        <v>0</v>
      </c>
    </row>
    <row r="30" spans="1:6" ht="24">
      <c r="A30" s="1" t="s">
        <v>58</v>
      </c>
      <c r="B30" s="6"/>
      <c r="C30" s="1">
        <f>B30*15.7</f>
        <v>0</v>
      </c>
      <c r="D30" s="1" t="s">
        <v>59</v>
      </c>
      <c r="E30" s="7"/>
      <c r="F30" s="1">
        <f>E30*0.6</f>
        <v>0</v>
      </c>
    </row>
    <row r="31" spans="1:6" ht="24">
      <c r="A31" s="1" t="s">
        <v>60</v>
      </c>
      <c r="B31" s="6"/>
      <c r="C31" s="1">
        <f>B31*13.2</f>
        <v>0</v>
      </c>
      <c r="D31" s="1" t="s">
        <v>61</v>
      </c>
      <c r="E31" s="7"/>
      <c r="F31" s="1">
        <f>E31*0.65</f>
        <v>0</v>
      </c>
    </row>
    <row r="32" spans="1:6" ht="24">
      <c r="A32" s="1" t="s">
        <v>62</v>
      </c>
      <c r="B32" s="6"/>
      <c r="C32" s="1">
        <f>B32*9.1</f>
        <v>0</v>
      </c>
      <c r="D32" s="1" t="s">
        <v>63</v>
      </c>
      <c r="E32" s="7"/>
      <c r="F32" s="1">
        <f>E32*0.85</f>
        <v>0</v>
      </c>
    </row>
    <row r="33" spans="1:6" ht="24">
      <c r="A33" s="1" t="s">
        <v>64</v>
      </c>
      <c r="B33" s="6"/>
      <c r="C33" s="1">
        <f>B33*25</f>
        <v>0</v>
      </c>
      <c r="D33" s="1" t="s">
        <v>65</v>
      </c>
      <c r="E33" s="7"/>
      <c r="F33" s="1">
        <f>E33*2.8</f>
        <v>0</v>
      </c>
    </row>
    <row r="34" spans="1:6" ht="24">
      <c r="A34" s="1" t="s">
        <v>66</v>
      </c>
      <c r="B34" s="6"/>
      <c r="C34" s="1">
        <f>B34*5</f>
        <v>0</v>
      </c>
      <c r="D34" s="1" t="s">
        <v>67</v>
      </c>
      <c r="E34" s="7"/>
      <c r="F34" s="1">
        <f>E34*2.1</f>
        <v>0</v>
      </c>
    </row>
    <row r="35" spans="1:6" ht="24">
      <c r="A35" s="1" t="s">
        <v>68</v>
      </c>
      <c r="B35" s="6"/>
      <c r="C35" s="1">
        <f>B35*13.5</f>
        <v>0</v>
      </c>
      <c r="D35" s="1" t="s">
        <v>69</v>
      </c>
      <c r="E35" s="7"/>
      <c r="F35" s="1">
        <f>E35*1.4</f>
        <v>0</v>
      </c>
    </row>
    <row r="36" spans="1:6" ht="24">
      <c r="A36" s="1" t="s">
        <v>70</v>
      </c>
      <c r="B36" s="6"/>
      <c r="C36" s="1">
        <f>B36*4</f>
        <v>0</v>
      </c>
      <c r="D36" s="1" t="s">
        <v>71</v>
      </c>
      <c r="E36" s="7"/>
      <c r="F36" s="1">
        <f>E36*0.8</f>
        <v>0</v>
      </c>
    </row>
    <row r="37" spans="1:6" ht="24">
      <c r="A37" s="1" t="s">
        <v>72</v>
      </c>
      <c r="B37" s="6"/>
      <c r="C37" s="1">
        <f>B37*3.25</f>
        <v>0</v>
      </c>
      <c r="D37" s="1" t="s">
        <v>73</v>
      </c>
      <c r="E37" s="7"/>
      <c r="F37" s="1">
        <f>E37*80</f>
        <v>0</v>
      </c>
    </row>
    <row r="38" spans="1:6" ht="24">
      <c r="A38" s="1" t="s">
        <v>74</v>
      </c>
      <c r="B38" s="6"/>
      <c r="C38" s="1">
        <f>B38*3.9</f>
        <v>0</v>
      </c>
      <c r="D38" s="1" t="s">
        <v>75</v>
      </c>
      <c r="E38" s="7"/>
      <c r="F38" s="1">
        <f>E38*52</f>
        <v>0</v>
      </c>
    </row>
    <row r="39" spans="1:6" ht="24">
      <c r="A39" s="1" t="s">
        <v>76</v>
      </c>
      <c r="B39" s="6"/>
      <c r="C39" s="1">
        <f>B39*5</f>
        <v>0</v>
      </c>
      <c r="D39" s="1" t="s">
        <v>77</v>
      </c>
      <c r="E39" s="7"/>
      <c r="F39" s="1">
        <f>E39*5</f>
        <v>0</v>
      </c>
    </row>
    <row r="40" spans="1:6" ht="24">
      <c r="A40" s="1" t="s">
        <v>78</v>
      </c>
      <c r="B40" s="6"/>
      <c r="C40" s="1">
        <f>B40*7.1</f>
        <v>0</v>
      </c>
      <c r="D40" s="1" t="s">
        <v>79</v>
      </c>
      <c r="E40" s="7"/>
      <c r="F40" s="1">
        <f>E40*24</f>
        <v>0</v>
      </c>
    </row>
    <row r="41" spans="1:6" ht="24">
      <c r="A41" s="1" t="s">
        <v>80</v>
      </c>
      <c r="B41" s="6"/>
      <c r="C41" s="1">
        <f>B41*1.28</f>
        <v>0</v>
      </c>
      <c r="D41" s="1" t="s">
        <v>81</v>
      </c>
      <c r="E41" s="7"/>
      <c r="F41" s="1">
        <f>E41*20.2</f>
        <v>0</v>
      </c>
    </row>
    <row r="42" spans="1:6" ht="24">
      <c r="A42" s="1" t="s">
        <v>82</v>
      </c>
      <c r="B42" s="6"/>
      <c r="C42" s="1">
        <f>B42*2.07</f>
        <v>0</v>
      </c>
      <c r="D42" s="1" t="s">
        <v>83</v>
      </c>
      <c r="E42" s="7"/>
      <c r="F42" s="1">
        <f>E42*13.9</f>
        <v>0</v>
      </c>
    </row>
    <row r="43" spans="1:6" ht="24">
      <c r="A43" s="1" t="s">
        <v>84</v>
      </c>
      <c r="B43" s="6"/>
      <c r="C43" s="1">
        <f>B43*6.4</f>
        <v>0</v>
      </c>
      <c r="D43" s="1" t="s">
        <v>85</v>
      </c>
      <c r="E43" s="7"/>
      <c r="F43" s="1">
        <f>E43*10.4</f>
        <v>0</v>
      </c>
    </row>
    <row r="44" spans="1:6" ht="24">
      <c r="A44" s="1" t="s">
        <v>86</v>
      </c>
      <c r="B44" s="6"/>
      <c r="C44" s="1">
        <f>B44*4.3</f>
        <v>0</v>
      </c>
      <c r="D44" s="1" t="s">
        <v>87</v>
      </c>
      <c r="E44" s="7"/>
      <c r="F44" s="1">
        <f>E44*8.5</f>
        <v>0</v>
      </c>
    </row>
    <row r="45" spans="1:6" ht="24">
      <c r="A45" s="1" t="s">
        <v>88</v>
      </c>
      <c r="B45" s="6"/>
      <c r="C45" s="1">
        <f>B45*3.7</f>
        <v>0</v>
      </c>
      <c r="D45" s="1" t="s">
        <v>89</v>
      </c>
      <c r="E45" s="7"/>
      <c r="F45" s="1">
        <f>E45*3</f>
        <v>0</v>
      </c>
    </row>
    <row r="46" spans="1:6" ht="24">
      <c r="A46" s="1" t="s">
        <v>90</v>
      </c>
      <c r="B46" s="6"/>
      <c r="C46" s="1">
        <f>B46*21.5</f>
        <v>0</v>
      </c>
      <c r="D46" s="1" t="s">
        <v>91</v>
      </c>
      <c r="E46" s="7"/>
      <c r="F46" s="1">
        <f>E46*10</f>
        <v>0</v>
      </c>
    </row>
    <row r="47" spans="1:6" ht="24">
      <c r="A47" s="1" t="s">
        <v>92</v>
      </c>
      <c r="B47" s="6"/>
      <c r="C47" s="1">
        <f>B47*17</f>
        <v>0</v>
      </c>
      <c r="D47" s="1" t="s">
        <v>93</v>
      </c>
      <c r="E47" s="7"/>
      <c r="F47" s="1">
        <f>E47*12</f>
        <v>0</v>
      </c>
    </row>
    <row r="48" spans="1:6" ht="24">
      <c r="A48" s="1" t="s">
        <v>94</v>
      </c>
      <c r="B48" s="6"/>
      <c r="C48" s="1">
        <f>B48*13.5</f>
        <v>0</v>
      </c>
      <c r="D48" s="1" t="s">
        <v>95</v>
      </c>
      <c r="E48" s="7"/>
      <c r="F48" s="1">
        <f>E48*14</f>
        <v>0</v>
      </c>
    </row>
    <row r="49" spans="1:6" ht="24">
      <c r="A49" s="1" t="s">
        <v>96</v>
      </c>
      <c r="B49" s="6"/>
      <c r="C49" s="1">
        <f>B49*9.7</f>
        <v>0</v>
      </c>
      <c r="D49" s="1" t="s">
        <v>97</v>
      </c>
      <c r="E49" s="7"/>
      <c r="F49" s="1">
        <f>E49*17</f>
        <v>0</v>
      </c>
    </row>
    <row r="50" spans="1:6" ht="24">
      <c r="A50" s="1" t="s">
        <v>98</v>
      </c>
      <c r="B50" s="6"/>
      <c r="C50" s="1">
        <f>B50*7.4</f>
        <v>0</v>
      </c>
      <c r="D50" s="1" t="s">
        <v>99</v>
      </c>
      <c r="E50" s="7"/>
      <c r="F50" s="1">
        <f>E50*13</f>
        <v>0</v>
      </c>
    </row>
    <row r="51" spans="1:6" ht="24">
      <c r="A51" s="1" t="s">
        <v>100</v>
      </c>
      <c r="B51" s="6"/>
      <c r="C51" s="1">
        <f>B51*802</f>
        <v>0</v>
      </c>
      <c r="D51" s="1" t="s">
        <v>101</v>
      </c>
      <c r="E51" s="7"/>
      <c r="F51" s="1">
        <f>E51*10</f>
        <v>0</v>
      </c>
    </row>
    <row r="52" spans="1:6" ht="24">
      <c r="A52" s="1" t="s">
        <v>104</v>
      </c>
      <c r="B52" s="6"/>
      <c r="C52" s="1">
        <f>B52*8.5</f>
        <v>0</v>
      </c>
      <c r="D52" s="1" t="s">
        <v>102</v>
      </c>
      <c r="E52" s="7"/>
      <c r="F52" s="1">
        <f>E52*8</f>
        <v>0</v>
      </c>
    </row>
    <row r="53" spans="1:6" ht="24">
      <c r="A53" s="1" t="s">
        <v>105</v>
      </c>
      <c r="B53" s="6"/>
      <c r="C53" s="1">
        <f>B53*3.7</f>
        <v>0</v>
      </c>
      <c r="D53" s="1" t="s">
        <v>115</v>
      </c>
      <c r="E53" s="7"/>
      <c r="F53" s="1">
        <f>2.5*E53</f>
        <v>0</v>
      </c>
    </row>
    <row r="54" spans="1:6" ht="24">
      <c r="A54" s="1" t="s">
        <v>106</v>
      </c>
      <c r="B54" s="6"/>
      <c r="C54" s="1">
        <f>B54*9.5</f>
        <v>0</v>
      </c>
      <c r="D54" s="1"/>
      <c r="E54" s="7"/>
      <c r="F54" s="1"/>
    </row>
    <row r="55" spans="1:6" ht="24">
      <c r="A55" s="1" t="s">
        <v>107</v>
      </c>
      <c r="B55" s="6"/>
      <c r="C55" s="1">
        <f>B55*3.7</f>
        <v>0</v>
      </c>
      <c r="D55" s="1"/>
      <c r="E55" s="7"/>
      <c r="F55" s="1"/>
    </row>
    <row r="56" spans="1:6" ht="24">
      <c r="A56" s="1" t="s">
        <v>108</v>
      </c>
      <c r="B56" s="6"/>
      <c r="C56" s="1">
        <f>B56*3.3</f>
        <v>0</v>
      </c>
      <c r="D56" s="1"/>
      <c r="E56" s="7"/>
      <c r="F56" s="1"/>
    </row>
    <row r="57" spans="1:6" ht="24">
      <c r="A57" s="1" t="s">
        <v>109</v>
      </c>
      <c r="B57" s="6"/>
      <c r="C57" s="1">
        <f>B57*3.4</f>
        <v>0</v>
      </c>
      <c r="D57" s="1"/>
      <c r="E57" s="7"/>
      <c r="F57" s="1"/>
    </row>
    <row r="58" spans="1:6" ht="24">
      <c r="A58" s="1" t="s">
        <v>110</v>
      </c>
      <c r="B58" s="6"/>
      <c r="C58" s="1">
        <f>B58*3.9</f>
        <v>0</v>
      </c>
      <c r="D58" s="1"/>
      <c r="E58" s="7"/>
      <c r="F58" s="1"/>
    </row>
    <row r="59" spans="1:6" ht="24">
      <c r="A59" s="1" t="s">
        <v>111</v>
      </c>
      <c r="B59" s="6"/>
      <c r="C59" s="1">
        <f>B53*11.3</f>
        <v>0</v>
      </c>
      <c r="D59" s="1"/>
      <c r="E59" s="7"/>
      <c r="F59" s="1"/>
    </row>
    <row r="60" spans="1:6" ht="24">
      <c r="A60" s="1" t="s">
        <v>112</v>
      </c>
      <c r="B60" s="6"/>
      <c r="C60" s="1">
        <f>B60*13.6</f>
        <v>0</v>
      </c>
      <c r="D60" s="1"/>
      <c r="E60" s="7"/>
      <c r="F60" s="1"/>
    </row>
    <row r="61" spans="1:6" ht="24">
      <c r="A61" s="1" t="s">
        <v>113</v>
      </c>
      <c r="B61" s="6"/>
      <c r="C61" s="1">
        <f>B61*7.5</f>
        <v>0</v>
      </c>
      <c r="D61" s="1"/>
      <c r="E61" s="7"/>
      <c r="F61" s="1"/>
    </row>
    <row r="62" spans="1:6" ht="24">
      <c r="A62" s="1" t="s">
        <v>114</v>
      </c>
      <c r="B62" s="6"/>
      <c r="C62" s="1">
        <f>B62*3.8</f>
        <v>0</v>
      </c>
      <c r="D62" s="1"/>
      <c r="E62" s="7"/>
      <c r="F62" s="1"/>
    </row>
    <row r="63" spans="1:6" ht="24">
      <c r="A63" s="1"/>
      <c r="B63" s="6"/>
      <c r="C63" s="1">
        <f>B63*3.8</f>
        <v>0</v>
      </c>
      <c r="D63" s="1"/>
      <c r="E63" s="7"/>
      <c r="F63" s="1"/>
    </row>
    <row r="64" spans="1:6" ht="24">
      <c r="A64" s="10" t="s">
        <v>103</v>
      </c>
      <c r="B64" s="8"/>
      <c r="C64" s="1">
        <f>SUM(C4:C63)</f>
        <v>0</v>
      </c>
      <c r="D64" s="10" t="s">
        <v>103</v>
      </c>
      <c r="E64" s="9"/>
      <c r="F64" s="1">
        <f>SUM(F4:F63)</f>
        <v>0</v>
      </c>
    </row>
  </sheetData>
  <mergeCells count="1">
    <mergeCell ref="E1:F1"/>
  </mergeCells>
  <printOptions/>
  <pageMargins left="0.4330708661417323" right="0.2755905511811024" top="0.5118110236220472" bottom="0.35433070866141736" header="0.2362204724409449" footer="0.15748031496062992"/>
  <pageSetup horizontalDpi="600" verticalDpi="600" orientation="portrait" paperSize="9" scale="5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重量計算</dc:title>
  <dc:subject/>
  <dc:creator>マツオカ建機株式会社</dc:creator>
  <cp:keywords/>
  <dc:description/>
  <cp:lastModifiedBy>.</cp:lastModifiedBy>
  <cp:lastPrinted>2013-03-22T07:44:31Z</cp:lastPrinted>
  <dcterms:created xsi:type="dcterms:W3CDTF">1998-02-05T04:13:25Z</dcterms:created>
  <dcterms:modified xsi:type="dcterms:W3CDTF">2014-09-01T08:03:05Z</dcterms:modified>
  <cp:category/>
  <cp:version/>
  <cp:contentType/>
  <cp:contentStatus/>
</cp:coreProperties>
</file>